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zynal\Desktop\Budżet 2023\"/>
    </mc:Choice>
  </mc:AlternateContent>
  <xr:revisionPtr revIDLastSave="0" documentId="13_ncr:1_{B6FDC25A-6DC4-4984-B3BD-0587A2B5C646}" xr6:coauthVersionLast="36" xr6:coauthVersionMax="47" xr10:uidLastSave="{00000000-0000-0000-0000-000000000000}"/>
  <workbookProtection workbookAlgorithmName="SHA-512" workbookHashValue="LJg47e1LcJz5IM8QUz4G8tka4WySXxXp5/FbWeclcS9HTXx1rId9MolO0qIFM6/Q3HuaIlNIl0EqEQ1jgfKI/Q==" workbookSaltValue="vvNdgcf67iVR/dnsTXd8nQ==" workbookSpinCount="100000" lockStructure="1"/>
  <bookViews>
    <workbookView xWindow="-60" yWindow="0" windowWidth="15135" windowHeight="15390" xr2:uid="{D7AAC5B5-6421-4546-94B1-54290EACE4B9}"/>
  </bookViews>
  <sheets>
    <sheet name="Tabela Nr 1 dochody" sheetId="1" r:id="rId1"/>
    <sheet name="Tabela Nr 2 wydatki" sheetId="14" r:id="rId2"/>
    <sheet name="Tabela Nr 3" sheetId="2" r:id="rId3"/>
    <sheet name="Załącznik Nr 1" sheetId="6" r:id="rId4"/>
    <sheet name="Załącznik Nr 2" sheetId="7" r:id="rId5"/>
    <sheet name="Załącznik Nr 3" sheetId="8" r:id="rId6"/>
    <sheet name="Załącznik Nr 4" sheetId="9" r:id="rId7"/>
    <sheet name="Załącznik Nr 5" sheetId="10" r:id="rId8"/>
    <sheet name="Załącznik Nr 6" sheetId="11" r:id="rId9"/>
    <sheet name="Załącznik Nr 7" sheetId="13" r:id="rId10"/>
    <sheet name=" Załącznik Nr 8" sheetId="3" r:id="rId11"/>
    <sheet name="Załącznik Nr 9" sheetId="4" r:id="rId12"/>
    <sheet name=" Załącznik Nr 10" sheetId="5" r:id="rId13"/>
    <sheet name="Zał Nr 11 adm.rząd.doch." sheetId="15" r:id="rId14"/>
    <sheet name="Zał Nr 11 adm.rzad.wyd." sheetId="16" r:id="rId15"/>
    <sheet name="Zał Nr 12" sheetId="17" r:id="rId16"/>
    <sheet name="Załącznik Nr 13" sheetId="12" r:id="rId17"/>
  </sheets>
  <definedNames>
    <definedName name="nowwa" localSheetId="1">#REF!</definedName>
    <definedName name="nowwa">#REF!</definedName>
    <definedName name="Obszar_1093uku" localSheetId="1">#REF!</definedName>
    <definedName name="Obszar_1093uku" localSheetId="3">#REF!</definedName>
    <definedName name="Obszar_1093uku" localSheetId="4">#REF!</definedName>
    <definedName name="Obszar_1093uku" localSheetId="5">#REF!</definedName>
    <definedName name="Obszar_1093uku">#REF!</definedName>
    <definedName name="_xlnm.Print_Area" localSheetId="12">' Załącznik Nr 10'!$A$1:$G$8</definedName>
    <definedName name="_xlnm.Print_Area" localSheetId="10">' Załącznik Nr 8'!$A$1:$G$25</definedName>
    <definedName name="_xlnm.Print_Area" localSheetId="0">'Tabela Nr 1 dochody'!$A$1:$K$635</definedName>
    <definedName name="_xlnm.Print_Area" localSheetId="1">'Tabela Nr 2 wydatki'!$A$1:$H$2821</definedName>
    <definedName name="_xlnm.Print_Area" localSheetId="2">'Tabela Nr 3'!$A$1:$J$1161</definedName>
    <definedName name="_xlnm.Print_Area" localSheetId="14">'Zał Nr 11 adm.rzad.wyd.'!$A$1:$L$92</definedName>
    <definedName name="_xlnm.Print_Area" localSheetId="13">'Zał Nr 11 adm.rząd.doch.'!$A$1:$E$41</definedName>
    <definedName name="_xlnm.Print_Area" localSheetId="15">'Zał Nr 12'!$A$1:$G$24</definedName>
    <definedName name="_xlnm.Print_Area" localSheetId="3">'Załącznik Nr 1'!$A$1:$F$44</definedName>
    <definedName name="_xlnm.Print_Area" localSheetId="16">'Załącznik Nr 13'!$A$1:$D$23</definedName>
    <definedName name="_xlnm.Print_Area" localSheetId="4">'Załącznik Nr 2'!$A$1:$I$63</definedName>
    <definedName name="_xlnm.Print_Area" localSheetId="5">'Załącznik Nr 3'!$A$1:$H$25</definedName>
    <definedName name="_xlnm.Print_Area" localSheetId="6">'Załącznik Nr 4'!$A$1:$H$7</definedName>
    <definedName name="_xlnm.Print_Area" localSheetId="7">'Załącznik Nr 5'!$A$1:$I$12</definedName>
    <definedName name="_xlnm.Print_Area" localSheetId="8">'Załącznik Nr 6'!$A$1:$I$20</definedName>
    <definedName name="_xlnm.Print_Area" localSheetId="9">'Załącznik Nr 7'!$A$1:$K$23</definedName>
    <definedName name="_xlnm.Print_Area" localSheetId="11">'Załącznik Nr 9'!$A$1:$G$32</definedName>
    <definedName name="_xlnm.Print_Titles" localSheetId="0">'Tabela Nr 1 dochody'!$6:$8</definedName>
    <definedName name="_xlnm.Print_Titles" localSheetId="1">'Tabela Nr 2 wydatki'!$6:$7</definedName>
    <definedName name="_xlnm.Print_Titles" localSheetId="2">'Tabela Nr 3'!$5:$7</definedName>
    <definedName name="_xlnm.Print_Titles" localSheetId="14">'Zał Nr 11 adm.rzad.wyd.'!$1:$5</definedName>
    <definedName name="_xlnm.Print_Titles" localSheetId="4">'Załącznik Nr 2'!$4:$6</definedName>
    <definedName name="_xlnm.Print_Titles" localSheetId="5">'Załącznik Nr 3'!$3:$4</definedName>
    <definedName name="_xlnm.Print_Titles" localSheetId="7">'Załącznik Nr 5'!$4:$6</definedName>
    <definedName name="_xlnm.Print_Titles" localSheetId="8">'Załącznik Nr 6'!$4:$6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6" l="1"/>
  <c r="G2570" i="14" l="1"/>
  <c r="G2441" i="14"/>
  <c r="G1705" i="14"/>
  <c r="G467" i="14"/>
  <c r="H23" i="7" l="1"/>
  <c r="F17" i="6"/>
  <c r="F19" i="6"/>
  <c r="F43" i="6" l="1"/>
  <c r="F6" i="17" l="1"/>
  <c r="F5" i="17" s="1"/>
  <c r="G6" i="17"/>
  <c r="G5" i="17" s="1"/>
  <c r="E7" i="17"/>
  <c r="E8" i="17"/>
  <c r="F10" i="17"/>
  <c r="F9" i="17" s="1"/>
  <c r="G10" i="17"/>
  <c r="G9" i="17" s="1"/>
  <c r="E11" i="17"/>
  <c r="E10" i="17" s="1"/>
  <c r="E9" i="17" s="1"/>
  <c r="E12" i="17"/>
  <c r="F14" i="17"/>
  <c r="F13" i="17" s="1"/>
  <c r="G14" i="17"/>
  <c r="G13" i="17" s="1"/>
  <c r="E15" i="17"/>
  <c r="E16" i="17"/>
  <c r="F18" i="17"/>
  <c r="G18" i="17"/>
  <c r="E19" i="17"/>
  <c r="E18" i="17" s="1"/>
  <c r="E17" i="17" s="1"/>
  <c r="E20" i="17"/>
  <c r="F21" i="17"/>
  <c r="G21" i="17"/>
  <c r="E22" i="17"/>
  <c r="E21" i="17" s="1"/>
  <c r="E23" i="17"/>
  <c r="D181" i="17"/>
  <c r="Q534" i="17"/>
  <c r="H7" i="16"/>
  <c r="I7" i="16"/>
  <c r="I6" i="16" s="1"/>
  <c r="F8" i="16"/>
  <c r="E8" i="16" s="1"/>
  <c r="G8" i="16"/>
  <c r="G9" i="16"/>
  <c r="F9" i="16" s="1"/>
  <c r="E9" i="16" s="1"/>
  <c r="G10" i="16"/>
  <c r="F10" i="16" s="1"/>
  <c r="E10" i="16" s="1"/>
  <c r="G11" i="16"/>
  <c r="F11" i="16" s="1"/>
  <c r="E11" i="16" s="1"/>
  <c r="J13" i="16"/>
  <c r="J12" i="16" s="1"/>
  <c r="J92" i="16" s="1"/>
  <c r="F14" i="16"/>
  <c r="E14" i="16" s="1"/>
  <c r="F15" i="16"/>
  <c r="E15" i="16" s="1"/>
  <c r="F16" i="16"/>
  <c r="E16" i="16" s="1"/>
  <c r="F17" i="16"/>
  <c r="E17" i="16" s="1"/>
  <c r="H18" i="16"/>
  <c r="H12" i="16" s="1"/>
  <c r="I18" i="16"/>
  <c r="I12" i="16" s="1"/>
  <c r="E19" i="16"/>
  <c r="F19" i="16"/>
  <c r="G19" i="16"/>
  <c r="G20" i="16"/>
  <c r="F20" i="16" s="1"/>
  <c r="E20" i="16" s="1"/>
  <c r="G21" i="16"/>
  <c r="F21" i="16" s="1"/>
  <c r="E21" i="16" s="1"/>
  <c r="G22" i="16"/>
  <c r="F22" i="16" s="1"/>
  <c r="E22" i="16" s="1"/>
  <c r="H24" i="16"/>
  <c r="G24" i="16" s="1"/>
  <c r="F24" i="16" s="1"/>
  <c r="E24" i="16" s="1"/>
  <c r="G25" i="16"/>
  <c r="F25" i="16" s="1"/>
  <c r="E25" i="16" s="1"/>
  <c r="G26" i="16"/>
  <c r="F26" i="16" s="1"/>
  <c r="E26" i="16" s="1"/>
  <c r="G27" i="16"/>
  <c r="F27" i="16" s="1"/>
  <c r="E27" i="16" s="1"/>
  <c r="H29" i="16"/>
  <c r="I29" i="16"/>
  <c r="I28" i="16" s="1"/>
  <c r="G30" i="16"/>
  <c r="F30" i="16" s="1"/>
  <c r="E30" i="16" s="1"/>
  <c r="F31" i="16"/>
  <c r="E31" i="16" s="1"/>
  <c r="G31" i="16"/>
  <c r="G32" i="16"/>
  <c r="F32" i="16" s="1"/>
  <c r="E32" i="16" s="1"/>
  <c r="G33" i="16"/>
  <c r="F33" i="16" s="1"/>
  <c r="E33" i="16" s="1"/>
  <c r="H35" i="16"/>
  <c r="G35" i="16" s="1"/>
  <c r="F35" i="16" s="1"/>
  <c r="E35" i="16" s="1"/>
  <c r="G36" i="16"/>
  <c r="F36" i="16" s="1"/>
  <c r="E36" i="16" s="1"/>
  <c r="G37" i="16"/>
  <c r="F37" i="16" s="1"/>
  <c r="E37" i="16" s="1"/>
  <c r="G38" i="16"/>
  <c r="F38" i="16" s="1"/>
  <c r="E38" i="16" s="1"/>
  <c r="H39" i="16"/>
  <c r="I39" i="16"/>
  <c r="G40" i="16"/>
  <c r="F40" i="16" s="1"/>
  <c r="E40" i="16" s="1"/>
  <c r="F41" i="16"/>
  <c r="E41" i="16" s="1"/>
  <c r="G41" i="16"/>
  <c r="G42" i="16"/>
  <c r="F42" i="16" s="1"/>
  <c r="E42" i="16" s="1"/>
  <c r="G43" i="16"/>
  <c r="F43" i="16" s="1"/>
  <c r="E43" i="16" s="1"/>
  <c r="F44" i="16"/>
  <c r="E44" i="16" s="1"/>
  <c r="G44" i="16"/>
  <c r="H45" i="16"/>
  <c r="I45" i="16"/>
  <c r="K45" i="16"/>
  <c r="K34" i="16" s="1"/>
  <c r="F46" i="16"/>
  <c r="E46" i="16" s="1"/>
  <c r="G47" i="16"/>
  <c r="F47" i="16" s="1"/>
  <c r="E47" i="16" s="1"/>
  <c r="G48" i="16"/>
  <c r="F48" i="16" s="1"/>
  <c r="E48" i="16" s="1"/>
  <c r="G49" i="16"/>
  <c r="F49" i="16" s="1"/>
  <c r="E49" i="16" s="1"/>
  <c r="G50" i="16"/>
  <c r="F50" i="16" s="1"/>
  <c r="E50" i="16" s="1"/>
  <c r="G51" i="16"/>
  <c r="F51" i="16" s="1"/>
  <c r="E51" i="16" s="1"/>
  <c r="G52" i="16"/>
  <c r="F52" i="16" s="1"/>
  <c r="E52" i="16" s="1"/>
  <c r="G53" i="16"/>
  <c r="F53" i="16" s="1"/>
  <c r="E53" i="16" s="1"/>
  <c r="G54" i="16"/>
  <c r="F54" i="16" s="1"/>
  <c r="E54" i="16" s="1"/>
  <c r="G55" i="16"/>
  <c r="F55" i="16" s="1"/>
  <c r="E55" i="16" s="1"/>
  <c r="G56" i="16"/>
  <c r="F56" i="16" s="1"/>
  <c r="E56" i="16" s="1"/>
  <c r="L57" i="16"/>
  <c r="L92" i="16" s="1"/>
  <c r="E58" i="16"/>
  <c r="G59" i="16"/>
  <c r="F59" i="16" s="1"/>
  <c r="E59" i="16" s="1"/>
  <c r="G60" i="16"/>
  <c r="F60" i="16" s="1"/>
  <c r="E60" i="16" s="1"/>
  <c r="H61" i="16"/>
  <c r="H57" i="16" s="1"/>
  <c r="I61" i="16"/>
  <c r="I57" i="16" s="1"/>
  <c r="F62" i="16"/>
  <c r="E62" i="16" s="1"/>
  <c r="G62" i="16"/>
  <c r="G63" i="16"/>
  <c r="F63" i="16" s="1"/>
  <c r="E63" i="16" s="1"/>
  <c r="H65" i="16"/>
  <c r="H64" i="16" s="1"/>
  <c r="K65" i="16"/>
  <c r="K64" i="16" s="1"/>
  <c r="F66" i="16"/>
  <c r="E66" i="16" s="1"/>
  <c r="G67" i="16"/>
  <c r="F67" i="16" s="1"/>
  <c r="E67" i="16" s="1"/>
  <c r="H70" i="16"/>
  <c r="H69" i="16" s="1"/>
  <c r="I70" i="16"/>
  <c r="K70" i="16"/>
  <c r="K69" i="16" s="1"/>
  <c r="F71" i="16"/>
  <c r="E71" i="16" s="1"/>
  <c r="G72" i="16"/>
  <c r="F72" i="16" s="1"/>
  <c r="E72" i="16" s="1"/>
  <c r="G73" i="16"/>
  <c r="F73" i="16" s="1"/>
  <c r="E73" i="16" s="1"/>
  <c r="G74" i="16"/>
  <c r="F74" i="16" s="1"/>
  <c r="E74" i="16" s="1"/>
  <c r="G75" i="16"/>
  <c r="F75" i="16" s="1"/>
  <c r="E75" i="16" s="1"/>
  <c r="G76" i="16"/>
  <c r="F76" i="16" s="1"/>
  <c r="E76" i="16" s="1"/>
  <c r="G77" i="16"/>
  <c r="F77" i="16" s="1"/>
  <c r="E77" i="16" s="1"/>
  <c r="G78" i="16"/>
  <c r="F78" i="16" s="1"/>
  <c r="E78" i="16" s="1"/>
  <c r="G79" i="16"/>
  <c r="F79" i="16" s="1"/>
  <c r="E79" i="16" s="1"/>
  <c r="G80" i="16"/>
  <c r="F80" i="16" s="1"/>
  <c r="E80" i="16" s="1"/>
  <c r="G81" i="16"/>
  <c r="F81" i="16" s="1"/>
  <c r="E81" i="16" s="1"/>
  <c r="G82" i="16"/>
  <c r="F82" i="16" s="1"/>
  <c r="E82" i="16" s="1"/>
  <c r="G83" i="16"/>
  <c r="F83" i="16" s="1"/>
  <c r="E83" i="16" s="1"/>
  <c r="G84" i="16"/>
  <c r="F84" i="16" s="1"/>
  <c r="E84" i="16" s="1"/>
  <c r="G85" i="16"/>
  <c r="F85" i="16" s="1"/>
  <c r="E85" i="16" s="1"/>
  <c r="G86" i="16"/>
  <c r="F86" i="16" s="1"/>
  <c r="E86" i="16" s="1"/>
  <c r="G87" i="16"/>
  <c r="F87" i="16" s="1"/>
  <c r="E87" i="16" s="1"/>
  <c r="G88" i="16"/>
  <c r="F88" i="16" s="1"/>
  <c r="E88" i="16" s="1"/>
  <c r="G89" i="16"/>
  <c r="F89" i="16" s="1"/>
  <c r="E89" i="16" s="1"/>
  <c r="G90" i="16"/>
  <c r="F90" i="16" s="1"/>
  <c r="E90" i="16" s="1"/>
  <c r="G91" i="16"/>
  <c r="F91" i="16" s="1"/>
  <c r="E91" i="16" s="1"/>
  <c r="E230" i="16"/>
  <c r="Q538" i="16"/>
  <c r="E8" i="15"/>
  <c r="E7" i="15" s="1"/>
  <c r="E11" i="15"/>
  <c r="E13" i="15"/>
  <c r="E16" i="15"/>
  <c r="E15" i="15" s="1"/>
  <c r="E19" i="15"/>
  <c r="E18" i="15" s="1"/>
  <c r="E22" i="15"/>
  <c r="E21" i="15" s="1"/>
  <c r="E24" i="15"/>
  <c r="E26" i="15"/>
  <c r="E29" i="15"/>
  <c r="E31" i="15"/>
  <c r="E33" i="15"/>
  <c r="E36" i="15"/>
  <c r="E35" i="15" s="1"/>
  <c r="E39" i="15"/>
  <c r="E38" i="15" s="1"/>
  <c r="D157" i="15"/>
  <c r="Q536" i="15"/>
  <c r="G65" i="16" l="1"/>
  <c r="G18" i="16"/>
  <c r="F18" i="16" s="1"/>
  <c r="E18" i="16" s="1"/>
  <c r="E10" i="15"/>
  <c r="E41" i="15" s="1"/>
  <c r="F13" i="16"/>
  <c r="E13" i="16" s="1"/>
  <c r="E14" i="17"/>
  <c r="E13" i="17" s="1"/>
  <c r="F17" i="17"/>
  <c r="F24" i="17" s="1"/>
  <c r="E28" i="15"/>
  <c r="I34" i="16"/>
  <c r="G39" i="16"/>
  <c r="F39" i="16" s="1"/>
  <c r="E39" i="16" s="1"/>
  <c r="G29" i="16"/>
  <c r="F29" i="16" s="1"/>
  <c r="E29" i="16" s="1"/>
  <c r="E28" i="16" s="1"/>
  <c r="H23" i="16"/>
  <c r="G23" i="16" s="1"/>
  <c r="F23" i="16" s="1"/>
  <c r="E23" i="16" s="1"/>
  <c r="G7" i="16"/>
  <c r="F7" i="16" s="1"/>
  <c r="E7" i="16" s="1"/>
  <c r="E6" i="16" s="1"/>
  <c r="E6" i="17"/>
  <c r="E5" i="17" s="1"/>
  <c r="K92" i="16"/>
  <c r="F65" i="16"/>
  <c r="E65" i="16" s="1"/>
  <c r="G45" i="16"/>
  <c r="F45" i="16" s="1"/>
  <c r="E45" i="16" s="1"/>
  <c r="G12" i="16"/>
  <c r="F12" i="16" s="1"/>
  <c r="E12" i="16" s="1"/>
  <c r="H6" i="16"/>
  <c r="G70" i="16"/>
  <c r="F70" i="16" s="1"/>
  <c r="E70" i="16" s="1"/>
  <c r="G17" i="17"/>
  <c r="G24" i="17" s="1"/>
  <c r="G64" i="16"/>
  <c r="G57" i="16"/>
  <c r="F6" i="16"/>
  <c r="G6" i="16"/>
  <c r="I69" i="16"/>
  <c r="H28" i="16"/>
  <c r="G28" i="16" s="1"/>
  <c r="F28" i="16" s="1"/>
  <c r="H34" i="16"/>
  <c r="G34" i="16" s="1"/>
  <c r="F34" i="16" s="1"/>
  <c r="E34" i="16" s="1"/>
  <c r="G61" i="16"/>
  <c r="F61" i="16" s="1"/>
  <c r="E13" i="14"/>
  <c r="E12" i="14" s="1"/>
  <c r="F13" i="14"/>
  <c r="G13" i="14"/>
  <c r="H14" i="14"/>
  <c r="H15" i="14"/>
  <c r="H16" i="14"/>
  <c r="H17" i="14"/>
  <c r="H18" i="14"/>
  <c r="H19" i="14"/>
  <c r="E21" i="14"/>
  <c r="F21" i="14"/>
  <c r="G21" i="14"/>
  <c r="H21" i="14" s="1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E41" i="14"/>
  <c r="F41" i="14"/>
  <c r="G41" i="14"/>
  <c r="H41" i="14" s="1"/>
  <c r="H42" i="14"/>
  <c r="E45" i="14"/>
  <c r="E44" i="14" s="1"/>
  <c r="F45" i="14"/>
  <c r="F44" i="14" s="1"/>
  <c r="G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E104" i="14"/>
  <c r="E103" i="14" s="1"/>
  <c r="E102" i="14" s="1"/>
  <c r="F104" i="14"/>
  <c r="F103" i="14" s="1"/>
  <c r="F102" i="14" s="1"/>
  <c r="G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F142" i="14"/>
  <c r="E143" i="14"/>
  <c r="E142" i="14" s="1"/>
  <c r="F143" i="14"/>
  <c r="G143" i="14"/>
  <c r="G142" i="14" s="1"/>
  <c r="H142" i="14" s="1"/>
  <c r="H144" i="14"/>
  <c r="H145" i="14"/>
  <c r="E147" i="14"/>
  <c r="F147" i="14"/>
  <c r="G147" i="14"/>
  <c r="H147" i="14" s="1"/>
  <c r="H148" i="14"/>
  <c r="H149" i="14"/>
  <c r="E152" i="14"/>
  <c r="E151" i="14" s="1"/>
  <c r="F152" i="14"/>
  <c r="F151" i="14" s="1"/>
  <c r="G152" i="14"/>
  <c r="G151" i="14" s="1"/>
  <c r="H153" i="14"/>
  <c r="H154" i="14"/>
  <c r="H155" i="14"/>
  <c r="H156" i="14"/>
  <c r="H157" i="14"/>
  <c r="H158" i="14"/>
  <c r="H159" i="14"/>
  <c r="E163" i="14"/>
  <c r="F163" i="14"/>
  <c r="G163" i="14"/>
  <c r="H163" i="14" s="1"/>
  <c r="H164" i="14"/>
  <c r="H165" i="14"/>
  <c r="H166" i="14"/>
  <c r="H167" i="14"/>
  <c r="H168" i="14"/>
  <c r="E170" i="14"/>
  <c r="F170" i="14"/>
  <c r="H171" i="14"/>
  <c r="H172" i="14"/>
  <c r="H173" i="14"/>
  <c r="G174" i="14"/>
  <c r="G170" i="14" s="1"/>
  <c r="H175" i="14"/>
  <c r="H176" i="14"/>
  <c r="H177" i="14"/>
  <c r="H178" i="14"/>
  <c r="H179" i="14"/>
  <c r="E181" i="14"/>
  <c r="F181" i="14"/>
  <c r="G181" i="14"/>
  <c r="H182" i="14"/>
  <c r="H183" i="14"/>
  <c r="E186" i="14"/>
  <c r="E185" i="14" s="1"/>
  <c r="E184" i="14" s="1"/>
  <c r="E187" i="14"/>
  <c r="F187" i="14"/>
  <c r="F186" i="14" s="1"/>
  <c r="F185" i="14" s="1"/>
  <c r="F184" i="14" s="1"/>
  <c r="G187" i="14"/>
  <c r="H187" i="14" s="1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E220" i="14"/>
  <c r="F220" i="14"/>
  <c r="G220" i="14"/>
  <c r="H221" i="14"/>
  <c r="H222" i="14"/>
  <c r="H223" i="14"/>
  <c r="H224" i="14"/>
  <c r="E226" i="14"/>
  <c r="F226" i="14"/>
  <c r="F219" i="14" s="1"/>
  <c r="G226" i="14"/>
  <c r="H226" i="14" s="1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E242" i="14"/>
  <c r="E241" i="14" s="1"/>
  <c r="F242" i="14"/>
  <c r="F241" i="14" s="1"/>
  <c r="G242" i="14"/>
  <c r="G241" i="14" s="1"/>
  <c r="H243" i="14"/>
  <c r="H244" i="14"/>
  <c r="H245" i="14"/>
  <c r="H246" i="14"/>
  <c r="H247" i="14"/>
  <c r="E253" i="14"/>
  <c r="E252" i="14" s="1"/>
  <c r="F253" i="14"/>
  <c r="F252" i="14" s="1"/>
  <c r="G253" i="14"/>
  <c r="G252" i="14" s="1"/>
  <c r="H254" i="14"/>
  <c r="H255" i="14"/>
  <c r="H256" i="14"/>
  <c r="H257" i="14"/>
  <c r="E259" i="14"/>
  <c r="F259" i="14"/>
  <c r="G259" i="14"/>
  <c r="H260" i="14"/>
  <c r="H261" i="14"/>
  <c r="H262" i="14"/>
  <c r="G264" i="14"/>
  <c r="E265" i="14"/>
  <c r="E264" i="14" s="1"/>
  <c r="F265" i="14"/>
  <c r="F264" i="14" s="1"/>
  <c r="G265" i="14"/>
  <c r="H266" i="14"/>
  <c r="H267" i="14"/>
  <c r="E271" i="14"/>
  <c r="F271" i="14"/>
  <c r="G271" i="14"/>
  <c r="H272" i="14"/>
  <c r="H277" i="14"/>
  <c r="H278" i="14"/>
  <c r="H279" i="14"/>
  <c r="H280" i="14"/>
  <c r="H281" i="14"/>
  <c r="E282" i="14"/>
  <c r="E276" i="14" s="1"/>
  <c r="F282" i="14"/>
  <c r="F276" i="14" s="1"/>
  <c r="F275" i="14" s="1"/>
  <c r="G282" i="14"/>
  <c r="G276" i="14" s="1"/>
  <c r="H283" i="14"/>
  <c r="E286" i="14"/>
  <c r="E285" i="14" s="1"/>
  <c r="F286" i="14"/>
  <c r="F285" i="14" s="1"/>
  <c r="G286" i="14"/>
  <c r="H287" i="14"/>
  <c r="H288" i="14"/>
  <c r="H289" i="14"/>
  <c r="H290" i="14"/>
  <c r="H291" i="14"/>
  <c r="H292" i="14"/>
  <c r="H293" i="14"/>
  <c r="H294" i="14"/>
  <c r="E296" i="14"/>
  <c r="F296" i="14"/>
  <c r="G296" i="14"/>
  <c r="H297" i="14"/>
  <c r="H298" i="14"/>
  <c r="H299" i="14"/>
  <c r="H300" i="14"/>
  <c r="H301" i="14"/>
  <c r="H302" i="14"/>
  <c r="H303" i="14"/>
  <c r="H304" i="14"/>
  <c r="H307" i="14"/>
  <c r="H308" i="14"/>
  <c r="H309" i="14"/>
  <c r="H310" i="14"/>
  <c r="E311" i="14"/>
  <c r="E306" i="14" s="1"/>
  <c r="E305" i="14" s="1"/>
  <c r="F311" i="14"/>
  <c r="F306" i="14" s="1"/>
  <c r="F305" i="14" s="1"/>
  <c r="G311" i="14"/>
  <c r="G306" i="14" s="1"/>
  <c r="H312" i="14"/>
  <c r="H313" i="14"/>
  <c r="H314" i="14"/>
  <c r="H315" i="14"/>
  <c r="H316" i="14"/>
  <c r="E320" i="14"/>
  <c r="E319" i="14" s="1"/>
  <c r="F320" i="14"/>
  <c r="F319" i="14" s="1"/>
  <c r="G320" i="14"/>
  <c r="G319" i="14" s="1"/>
  <c r="H321" i="14"/>
  <c r="E323" i="14"/>
  <c r="F323" i="14"/>
  <c r="G323" i="14"/>
  <c r="H324" i="14"/>
  <c r="H325" i="14"/>
  <c r="E329" i="14"/>
  <c r="F329" i="14"/>
  <c r="H329" i="14" s="1"/>
  <c r="G329" i="14"/>
  <c r="H330" i="14"/>
  <c r="H331" i="14"/>
  <c r="H332" i="14"/>
  <c r="H333" i="14"/>
  <c r="H334" i="14"/>
  <c r="H335" i="14"/>
  <c r="E337" i="14"/>
  <c r="F337" i="14"/>
  <c r="G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5" i="14"/>
  <c r="H366" i="14"/>
  <c r="H367" i="14"/>
  <c r="E369" i="14"/>
  <c r="E368" i="14" s="1"/>
  <c r="F369" i="14"/>
  <c r="F368" i="14" s="1"/>
  <c r="G369" i="14"/>
  <c r="H370" i="14"/>
  <c r="H371" i="14"/>
  <c r="H372" i="14"/>
  <c r="H373" i="14"/>
  <c r="H374" i="14"/>
  <c r="H375" i="14"/>
  <c r="H376" i="14"/>
  <c r="H377" i="14"/>
  <c r="H379" i="14"/>
  <c r="H381" i="14"/>
  <c r="H382" i="14"/>
  <c r="H383" i="14"/>
  <c r="H384" i="14"/>
  <c r="E386" i="14"/>
  <c r="G386" i="14"/>
  <c r="F387" i="14"/>
  <c r="H387" i="14" s="1"/>
  <c r="H388" i="14"/>
  <c r="F389" i="14"/>
  <c r="F390" i="14"/>
  <c r="H390" i="14" s="1"/>
  <c r="H391" i="14"/>
  <c r="H392" i="14"/>
  <c r="H394" i="14"/>
  <c r="H395" i="14"/>
  <c r="H396" i="14"/>
  <c r="H397" i="14"/>
  <c r="E400" i="14"/>
  <c r="E399" i="14" s="1"/>
  <c r="F400" i="14"/>
  <c r="F399" i="14" s="1"/>
  <c r="H399" i="14" s="1"/>
  <c r="G400" i="14"/>
  <c r="G399" i="14" s="1"/>
  <c r="H401" i="14"/>
  <c r="F403" i="14"/>
  <c r="E404" i="14"/>
  <c r="E403" i="14" s="1"/>
  <c r="F404" i="14"/>
  <c r="G404" i="14"/>
  <c r="H405" i="14"/>
  <c r="H406" i="14"/>
  <c r="H407" i="14"/>
  <c r="H408" i="14"/>
  <c r="H409" i="14"/>
  <c r="E412" i="14"/>
  <c r="E411" i="14" s="1"/>
  <c r="E410" i="14" s="1"/>
  <c r="F412" i="14"/>
  <c r="F411" i="14" s="1"/>
  <c r="F410" i="14" s="1"/>
  <c r="G412" i="14"/>
  <c r="G411" i="14" s="1"/>
  <c r="H413" i="14"/>
  <c r="E415" i="14"/>
  <c r="E416" i="14"/>
  <c r="F416" i="14"/>
  <c r="F415" i="14" s="1"/>
  <c r="G416" i="14"/>
  <c r="H417" i="14"/>
  <c r="E420" i="14"/>
  <c r="E419" i="14" s="1"/>
  <c r="F420" i="14"/>
  <c r="F419" i="14" s="1"/>
  <c r="G420" i="14"/>
  <c r="G419" i="14" s="1"/>
  <c r="H421" i="14"/>
  <c r="E424" i="14"/>
  <c r="E423" i="14" s="1"/>
  <c r="F424" i="14"/>
  <c r="F423" i="14" s="1"/>
  <c r="G424" i="14"/>
  <c r="G423" i="14" s="1"/>
  <c r="H423" i="14" s="1"/>
  <c r="H425" i="14"/>
  <c r="H426" i="14"/>
  <c r="H427" i="14"/>
  <c r="H428" i="14"/>
  <c r="H429" i="14"/>
  <c r="H430" i="14"/>
  <c r="E432" i="14"/>
  <c r="E431" i="14" s="1"/>
  <c r="E422" i="14" s="1"/>
  <c r="F432" i="14"/>
  <c r="F431" i="14" s="1"/>
  <c r="F422" i="14" s="1"/>
  <c r="G432" i="14"/>
  <c r="H433" i="14"/>
  <c r="H434" i="14"/>
  <c r="E437" i="14"/>
  <c r="E436" i="14" s="1"/>
  <c r="E438" i="14"/>
  <c r="F438" i="14"/>
  <c r="G438" i="14"/>
  <c r="H439" i="14"/>
  <c r="H440" i="14"/>
  <c r="H441" i="14"/>
  <c r="H442" i="14"/>
  <c r="H443" i="14"/>
  <c r="E445" i="14"/>
  <c r="F445" i="14"/>
  <c r="G445" i="14"/>
  <c r="H446" i="14"/>
  <c r="H447" i="14"/>
  <c r="H448" i="14"/>
  <c r="H449" i="14"/>
  <c r="H450" i="14"/>
  <c r="H451" i="14"/>
  <c r="H454" i="14"/>
  <c r="H455" i="14"/>
  <c r="H456" i="14"/>
  <c r="E457" i="14"/>
  <c r="E453" i="14" s="1"/>
  <c r="F457" i="14"/>
  <c r="F453" i="14" s="1"/>
  <c r="G457" i="14"/>
  <c r="G453" i="14" s="1"/>
  <c r="H458" i="14"/>
  <c r="F463" i="14"/>
  <c r="F462" i="14" s="1"/>
  <c r="G463" i="14"/>
  <c r="H464" i="14"/>
  <c r="H465" i="14"/>
  <c r="H466" i="14"/>
  <c r="H467" i="14"/>
  <c r="F469" i="14"/>
  <c r="G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F498" i="14"/>
  <c r="G498" i="14"/>
  <c r="H499" i="14"/>
  <c r="H500" i="14"/>
  <c r="H501" i="14"/>
  <c r="H502" i="14"/>
  <c r="H503" i="14"/>
  <c r="H504" i="14"/>
  <c r="F506" i="14"/>
  <c r="H506" i="14" s="1"/>
  <c r="G506" i="14"/>
  <c r="H507" i="14"/>
  <c r="H508" i="14"/>
  <c r="H509" i="14"/>
  <c r="H510" i="14"/>
  <c r="H511" i="14"/>
  <c r="H512" i="14"/>
  <c r="H513" i="14"/>
  <c r="H514" i="14"/>
  <c r="H515" i="14"/>
  <c r="H516" i="14"/>
  <c r="F538" i="14"/>
  <c r="G538" i="14"/>
  <c r="G537" i="14" s="1"/>
  <c r="H539" i="14"/>
  <c r="H540" i="14"/>
  <c r="E545" i="14"/>
  <c r="E544" i="14" s="1"/>
  <c r="F545" i="14"/>
  <c r="F544" i="14" s="1"/>
  <c r="G545" i="14"/>
  <c r="H546" i="14"/>
  <c r="H547" i="14"/>
  <c r="H548" i="14"/>
  <c r="H549" i="14"/>
  <c r="H552" i="14"/>
  <c r="H553" i="14"/>
  <c r="H554" i="14"/>
  <c r="H555" i="14"/>
  <c r="H556" i="14"/>
  <c r="H557" i="14"/>
  <c r="E559" i="14"/>
  <c r="F559" i="14"/>
  <c r="G559" i="14"/>
  <c r="H560" i="14"/>
  <c r="E562" i="14"/>
  <c r="E563" i="14"/>
  <c r="F563" i="14"/>
  <c r="F562" i="14" s="1"/>
  <c r="G563" i="14"/>
  <c r="H564" i="14"/>
  <c r="H565" i="14"/>
  <c r="H566" i="14"/>
  <c r="H567" i="14"/>
  <c r="E572" i="14"/>
  <c r="E571" i="14" s="1"/>
  <c r="F572" i="14"/>
  <c r="F571" i="14" s="1"/>
  <c r="G572" i="14"/>
  <c r="H573" i="14"/>
  <c r="E576" i="14"/>
  <c r="E575" i="14" s="1"/>
  <c r="F576" i="14"/>
  <c r="G576" i="14"/>
  <c r="G575" i="14" s="1"/>
  <c r="H577" i="14"/>
  <c r="H578" i="14"/>
  <c r="H579" i="14"/>
  <c r="E584" i="14"/>
  <c r="F584" i="14"/>
  <c r="G584" i="14"/>
  <c r="H585" i="14"/>
  <c r="H586" i="14"/>
  <c r="H587" i="14"/>
  <c r="H588" i="14"/>
  <c r="H589" i="14"/>
  <c r="H590" i="14"/>
  <c r="E592" i="14"/>
  <c r="F592" i="14"/>
  <c r="G592" i="14"/>
  <c r="H592" i="14" s="1"/>
  <c r="H593" i="14"/>
  <c r="H594" i="14"/>
  <c r="H595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E611" i="14"/>
  <c r="F611" i="14"/>
  <c r="G611" i="14"/>
  <c r="H612" i="14"/>
  <c r="H613" i="14"/>
  <c r="H614" i="14"/>
  <c r="H615" i="14"/>
  <c r="H616" i="14"/>
  <c r="E619" i="14"/>
  <c r="E618" i="14" s="1"/>
  <c r="E617" i="14" s="1"/>
  <c r="F619" i="14"/>
  <c r="F618" i="14" s="1"/>
  <c r="G619" i="14"/>
  <c r="G618" i="14" s="1"/>
  <c r="G617" i="14" s="1"/>
  <c r="H620" i="14"/>
  <c r="E624" i="14"/>
  <c r="F624" i="14"/>
  <c r="F623" i="14" s="1"/>
  <c r="G624" i="14"/>
  <c r="G623" i="14" s="1"/>
  <c r="H625" i="14"/>
  <c r="H626" i="14"/>
  <c r="H627" i="14"/>
  <c r="H628" i="14"/>
  <c r="H629" i="14"/>
  <c r="H630" i="14"/>
  <c r="E632" i="14"/>
  <c r="F632" i="14"/>
  <c r="G632" i="14"/>
  <c r="H632" i="14" s="1"/>
  <c r="H634" i="14"/>
  <c r="H635" i="14"/>
  <c r="H636" i="14"/>
  <c r="H637" i="14"/>
  <c r="H638" i="14"/>
  <c r="H639" i="14"/>
  <c r="H640" i="14"/>
  <c r="H641" i="14"/>
  <c r="H642" i="14"/>
  <c r="H643" i="14"/>
  <c r="H644" i="14"/>
  <c r="E650" i="14"/>
  <c r="F650" i="14"/>
  <c r="G650" i="14"/>
  <c r="H650" i="14" s="1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E669" i="14"/>
  <c r="E668" i="14" s="1"/>
  <c r="E667" i="14" s="1"/>
  <c r="F669" i="14"/>
  <c r="F668" i="14" s="1"/>
  <c r="F667" i="14" s="1"/>
  <c r="G669" i="14"/>
  <c r="H670" i="14"/>
  <c r="H671" i="14"/>
  <c r="E675" i="14"/>
  <c r="E676" i="14"/>
  <c r="F676" i="14"/>
  <c r="F675" i="14" s="1"/>
  <c r="F674" i="14" s="1"/>
  <c r="G676" i="14"/>
  <c r="H676" i="14" s="1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E690" i="14"/>
  <c r="F690" i="14"/>
  <c r="G690" i="14"/>
  <c r="H690" i="14" s="1"/>
  <c r="H691" i="14"/>
  <c r="H692" i="14"/>
  <c r="H693" i="14"/>
  <c r="H694" i="14"/>
  <c r="E697" i="14"/>
  <c r="E696" i="14" s="1"/>
  <c r="F697" i="14"/>
  <c r="F696" i="14" s="1"/>
  <c r="G697" i="14"/>
  <c r="G696" i="14" s="1"/>
  <c r="H702" i="14"/>
  <c r="H703" i="14"/>
  <c r="H704" i="14"/>
  <c r="H705" i="14"/>
  <c r="H706" i="14"/>
  <c r="E708" i="14"/>
  <c r="F708" i="14"/>
  <c r="G708" i="14"/>
  <c r="H708" i="14" s="1"/>
  <c r="H713" i="14"/>
  <c r="H714" i="14"/>
  <c r="H715" i="14"/>
  <c r="H717" i="14"/>
  <c r="H718" i="14"/>
  <c r="H719" i="14"/>
  <c r="H720" i="14"/>
  <c r="E724" i="14"/>
  <c r="E723" i="14" s="1"/>
  <c r="E722" i="14" s="1"/>
  <c r="E721" i="14" s="1"/>
  <c r="F724" i="14"/>
  <c r="F723" i="14" s="1"/>
  <c r="F722" i="14" s="1"/>
  <c r="F721" i="14" s="1"/>
  <c r="G724" i="14"/>
  <c r="G723" i="14" s="1"/>
  <c r="H725" i="14"/>
  <c r="H726" i="14"/>
  <c r="E728" i="14"/>
  <c r="F728" i="14"/>
  <c r="G728" i="14"/>
  <c r="H728" i="14" s="1"/>
  <c r="H729" i="14"/>
  <c r="E733" i="14"/>
  <c r="E732" i="14" s="1"/>
  <c r="F733" i="14"/>
  <c r="F732" i="14" s="1"/>
  <c r="G733" i="14"/>
  <c r="G732" i="14" s="1"/>
  <c r="E736" i="14"/>
  <c r="F736" i="14"/>
  <c r="G736" i="14"/>
  <c r="H737" i="14"/>
  <c r="H738" i="14"/>
  <c r="H739" i="14"/>
  <c r="H740" i="14"/>
  <c r="E742" i="14"/>
  <c r="E2814" i="14" s="1"/>
  <c r="F742" i="14"/>
  <c r="G742" i="14"/>
  <c r="H742" i="14" s="1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2" i="14"/>
  <c r="H763" i="14"/>
  <c r="H764" i="14"/>
  <c r="H765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E781" i="14"/>
  <c r="E782" i="14"/>
  <c r="F782" i="14"/>
  <c r="F781" i="14" s="1"/>
  <c r="G782" i="14"/>
  <c r="H783" i="14"/>
  <c r="H784" i="14"/>
  <c r="H785" i="14"/>
  <c r="H786" i="14"/>
  <c r="E788" i="14"/>
  <c r="F788" i="14"/>
  <c r="G788" i="14"/>
  <c r="H789" i="14"/>
  <c r="H790" i="14"/>
  <c r="H791" i="14"/>
  <c r="E796" i="14"/>
  <c r="E795" i="14" s="1"/>
  <c r="E794" i="14" s="1"/>
  <c r="E793" i="14" s="1"/>
  <c r="F796" i="14"/>
  <c r="F795" i="14" s="1"/>
  <c r="F794" i="14" s="1"/>
  <c r="F793" i="14" s="1"/>
  <c r="G796" i="14"/>
  <c r="G795" i="14" s="1"/>
  <c r="H795" i="14" s="1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E814" i="14"/>
  <c r="F814" i="14"/>
  <c r="G814" i="14"/>
  <c r="H815" i="14"/>
  <c r="E817" i="14"/>
  <c r="F817" i="14"/>
  <c r="G817" i="14"/>
  <c r="H818" i="14"/>
  <c r="H819" i="14"/>
  <c r="H820" i="14"/>
  <c r="H821" i="14"/>
  <c r="H822" i="14"/>
  <c r="E824" i="14"/>
  <c r="F824" i="14"/>
  <c r="G824" i="14"/>
  <c r="H825" i="14"/>
  <c r="H826" i="14"/>
  <c r="H827" i="14"/>
  <c r="H828" i="14"/>
  <c r="H829" i="14"/>
  <c r="E833" i="14"/>
  <c r="F833" i="14"/>
  <c r="G834" i="14"/>
  <c r="G835" i="14"/>
  <c r="H835" i="14" s="1"/>
  <c r="G836" i="14"/>
  <c r="H836" i="14" s="1"/>
  <c r="G837" i="14"/>
  <c r="H837" i="14" s="1"/>
  <c r="G838" i="14"/>
  <c r="H838" i="14" s="1"/>
  <c r="G839" i="14"/>
  <c r="H839" i="14"/>
  <c r="E841" i="14"/>
  <c r="F841" i="14"/>
  <c r="G842" i="14"/>
  <c r="H842" i="14" s="1"/>
  <c r="G843" i="14"/>
  <c r="H843" i="14" s="1"/>
  <c r="G844" i="14"/>
  <c r="H844" i="14" s="1"/>
  <c r="G845" i="14"/>
  <c r="H845" i="14" s="1"/>
  <c r="G846" i="14"/>
  <c r="H846" i="14" s="1"/>
  <c r="G847" i="14"/>
  <c r="H847" i="14" s="1"/>
  <c r="G848" i="14"/>
  <c r="H848" i="14" s="1"/>
  <c r="G849" i="14"/>
  <c r="H849" i="14" s="1"/>
  <c r="H850" i="14"/>
  <c r="G851" i="14"/>
  <c r="H851" i="14" s="1"/>
  <c r="H852" i="14"/>
  <c r="G853" i="14"/>
  <c r="H853" i="14" s="1"/>
  <c r="G854" i="14"/>
  <c r="H854" i="14" s="1"/>
  <c r="G855" i="14"/>
  <c r="H855" i="14" s="1"/>
  <c r="G856" i="14"/>
  <c r="H856" i="14" s="1"/>
  <c r="G857" i="14"/>
  <c r="H857" i="14" s="1"/>
  <c r="H858" i="14"/>
  <c r="G859" i="14"/>
  <c r="H859" i="14" s="1"/>
  <c r="G860" i="14"/>
  <c r="H860" i="14" s="1"/>
  <c r="H861" i="14"/>
  <c r="H862" i="14"/>
  <c r="G863" i="14"/>
  <c r="H863" i="14" s="1"/>
  <c r="G864" i="14"/>
  <c r="H864" i="14" s="1"/>
  <c r="E866" i="14"/>
  <c r="F866" i="14"/>
  <c r="G866" i="14"/>
  <c r="H866" i="14" s="1"/>
  <c r="G867" i="14"/>
  <c r="H867" i="14" s="1"/>
  <c r="H868" i="14"/>
  <c r="E870" i="14"/>
  <c r="F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G883" i="14"/>
  <c r="H883" i="14"/>
  <c r="G884" i="14"/>
  <c r="H884" i="14" s="1"/>
  <c r="G886" i="14"/>
  <c r="G887" i="14"/>
  <c r="H887" i="14" s="1"/>
  <c r="H888" i="14"/>
  <c r="H889" i="14"/>
  <c r="H890" i="14"/>
  <c r="H891" i="14"/>
  <c r="G892" i="14"/>
  <c r="H892" i="14" s="1"/>
  <c r="G893" i="14"/>
  <c r="H893" i="14" s="1"/>
  <c r="H894" i="14"/>
  <c r="H896" i="14"/>
  <c r="G897" i="14"/>
  <c r="H897" i="14" s="1"/>
  <c r="G898" i="14"/>
  <c r="H898" i="14" s="1"/>
  <c r="G899" i="14"/>
  <c r="H899" i="14" s="1"/>
  <c r="H900" i="14"/>
  <c r="H901" i="14"/>
  <c r="G902" i="14"/>
  <c r="H902" i="14"/>
  <c r="G903" i="14"/>
  <c r="H903" i="14" s="1"/>
  <c r="G904" i="14"/>
  <c r="H904" i="14" s="1"/>
  <c r="G905" i="14"/>
  <c r="H905" i="14" s="1"/>
  <c r="H906" i="14"/>
  <c r="H907" i="14"/>
  <c r="H908" i="14"/>
  <c r="H909" i="14"/>
  <c r="H910" i="14"/>
  <c r="H911" i="14"/>
  <c r="H912" i="14"/>
  <c r="H913" i="14"/>
  <c r="H914" i="14"/>
  <c r="E917" i="14"/>
  <c r="E916" i="14" s="1"/>
  <c r="F917" i="14"/>
  <c r="F916" i="14" s="1"/>
  <c r="G918" i="14"/>
  <c r="H918" i="14" s="1"/>
  <c r="H919" i="14"/>
  <c r="H920" i="14"/>
  <c r="G921" i="14"/>
  <c r="H921" i="14" s="1"/>
  <c r="H923" i="14"/>
  <c r="H924" i="14"/>
  <c r="H925" i="14"/>
  <c r="E927" i="14"/>
  <c r="F927" i="14"/>
  <c r="G927" i="14"/>
  <c r="H928" i="14"/>
  <c r="H929" i="14"/>
  <c r="H930" i="14"/>
  <c r="H931" i="14"/>
  <c r="H932" i="14"/>
  <c r="H934" i="14"/>
  <c r="H935" i="14"/>
  <c r="H936" i="14"/>
  <c r="H937" i="14"/>
  <c r="H938" i="14"/>
  <c r="H939" i="14"/>
  <c r="H940" i="14"/>
  <c r="E944" i="14"/>
  <c r="F944" i="14"/>
  <c r="G944" i="14"/>
  <c r="H944" i="14" s="1"/>
  <c r="H945" i="14"/>
  <c r="H946" i="14"/>
  <c r="H947" i="14"/>
  <c r="E949" i="14"/>
  <c r="F949" i="14"/>
  <c r="G949" i="14"/>
  <c r="H949" i="14" s="1"/>
  <c r="H950" i="14"/>
  <c r="H951" i="14"/>
  <c r="E955" i="14"/>
  <c r="F955" i="14"/>
  <c r="H956" i="14"/>
  <c r="H957" i="14"/>
  <c r="G958" i="14"/>
  <c r="H958" i="14" s="1"/>
  <c r="E960" i="14"/>
  <c r="F960" i="14"/>
  <c r="G961" i="14"/>
  <c r="H961" i="14" s="1"/>
  <c r="G962" i="14"/>
  <c r="H962" i="14" s="1"/>
  <c r="H963" i="14"/>
  <c r="G964" i="14"/>
  <c r="H964" i="14" s="1"/>
  <c r="H965" i="14"/>
  <c r="H966" i="14"/>
  <c r="H967" i="14"/>
  <c r="H968" i="14"/>
  <c r="E970" i="14"/>
  <c r="F970" i="14"/>
  <c r="G970" i="14"/>
  <c r="H970" i="14" s="1"/>
  <c r="H971" i="14"/>
  <c r="H972" i="14"/>
  <c r="E974" i="14"/>
  <c r="F974" i="14"/>
  <c r="G974" i="14"/>
  <c r="H974" i="14" s="1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E1013" i="14"/>
  <c r="E1012" i="14" s="1"/>
  <c r="F1013" i="14"/>
  <c r="F1012" i="14" s="1"/>
  <c r="G1013" i="14"/>
  <c r="G1012" i="14" s="1"/>
  <c r="H1012" i="14" s="1"/>
  <c r="H1014" i="14"/>
  <c r="H1015" i="14"/>
  <c r="H1016" i="14"/>
  <c r="H1017" i="14"/>
  <c r="H1018" i="14"/>
  <c r="E1020" i="14"/>
  <c r="F1020" i="14"/>
  <c r="G1020" i="14"/>
  <c r="H1021" i="14"/>
  <c r="H1022" i="14"/>
  <c r="H1023" i="14"/>
  <c r="H1024" i="14"/>
  <c r="F1031" i="14"/>
  <c r="G1031" i="14"/>
  <c r="G1027" i="14" s="1"/>
  <c r="G1026" i="14" s="1"/>
  <c r="G1025" i="14" s="1"/>
  <c r="H1032" i="14"/>
  <c r="H1033" i="14"/>
  <c r="H1034" i="14"/>
  <c r="H1035" i="14"/>
  <c r="E1043" i="14"/>
  <c r="F1043" i="14"/>
  <c r="G1043" i="14"/>
  <c r="H1044" i="14"/>
  <c r="H1045" i="14"/>
  <c r="H1046" i="14"/>
  <c r="H1047" i="14"/>
  <c r="E1049" i="14"/>
  <c r="F1049" i="14"/>
  <c r="G1049" i="14"/>
  <c r="H1049" i="14" s="1"/>
  <c r="H1050" i="14"/>
  <c r="H1051" i="14"/>
  <c r="H1052" i="14"/>
  <c r="H1053" i="14"/>
  <c r="H1054" i="14"/>
  <c r="H1055" i="14"/>
  <c r="E1057" i="14"/>
  <c r="F1057" i="14"/>
  <c r="G1057" i="14"/>
  <c r="H1057" i="14" s="1"/>
  <c r="H1058" i="14"/>
  <c r="E1062" i="14"/>
  <c r="F1062" i="14"/>
  <c r="F1061" i="14" s="1"/>
  <c r="F1060" i="14" s="1"/>
  <c r="G1062" i="14"/>
  <c r="H1067" i="14"/>
  <c r="E1070" i="14"/>
  <c r="F1070" i="14"/>
  <c r="G1071" i="14"/>
  <c r="H1073" i="14"/>
  <c r="G1075" i="14"/>
  <c r="H1075" i="14" s="1"/>
  <c r="G1076" i="14"/>
  <c r="H1076" i="14" s="1"/>
  <c r="H1077" i="14"/>
  <c r="G1078" i="14"/>
  <c r="H1078" i="14" s="1"/>
  <c r="G1079" i="14"/>
  <c r="H1079" i="14" s="1"/>
  <c r="G1080" i="14"/>
  <c r="H1080" i="14" s="1"/>
  <c r="H1081" i="14"/>
  <c r="H1082" i="14"/>
  <c r="G1083" i="14"/>
  <c r="H1083" i="14" s="1"/>
  <c r="H1084" i="14"/>
  <c r="E1086" i="14"/>
  <c r="F1086" i="14"/>
  <c r="G1086" i="14"/>
  <c r="H1086" i="14" s="1"/>
  <c r="H1087" i="14"/>
  <c r="H1088" i="14"/>
  <c r="H1089" i="14"/>
  <c r="E1091" i="14"/>
  <c r="F1091" i="14"/>
  <c r="G1091" i="14"/>
  <c r="H1092" i="14"/>
  <c r="E1094" i="14"/>
  <c r="F1094" i="14"/>
  <c r="H1095" i="14"/>
  <c r="H1096" i="14"/>
  <c r="H1097" i="14"/>
  <c r="H1098" i="14"/>
  <c r="H1099" i="14"/>
  <c r="H1100" i="14"/>
  <c r="H1101" i="14"/>
  <c r="H1102" i="14"/>
  <c r="H1103" i="14"/>
  <c r="H1104" i="14"/>
  <c r="H1105" i="14"/>
  <c r="G1106" i="14"/>
  <c r="H1106" i="14" s="1"/>
  <c r="G1107" i="14"/>
  <c r="G1108" i="14"/>
  <c r="H1108" i="14" s="1"/>
  <c r="G1109" i="14"/>
  <c r="H1109" i="14"/>
  <c r="H1110" i="14"/>
  <c r="G1111" i="14"/>
  <c r="H1111" i="14" s="1"/>
  <c r="G1112" i="14"/>
  <c r="H1112" i="14" s="1"/>
  <c r="H1113" i="14"/>
  <c r="G1114" i="14"/>
  <c r="H1114" i="14" s="1"/>
  <c r="G1115" i="14"/>
  <c r="H1115" i="14" s="1"/>
  <c r="H1116" i="14"/>
  <c r="H1117" i="14"/>
  <c r="H1118" i="14"/>
  <c r="H1119" i="14"/>
  <c r="H1120" i="14"/>
  <c r="G1121" i="14"/>
  <c r="H1121" i="14" s="1"/>
  <c r="G1122" i="14"/>
  <c r="H1122" i="14"/>
  <c r="H1123" i="14"/>
  <c r="H1124" i="14"/>
  <c r="H1125" i="14"/>
  <c r="H1126" i="14"/>
  <c r="H1127" i="14"/>
  <c r="H1128" i="14"/>
  <c r="H1129" i="14"/>
  <c r="H1130" i="14"/>
  <c r="H1131" i="14"/>
  <c r="G1132" i="14"/>
  <c r="H1132" i="14" s="1"/>
  <c r="G1133" i="14"/>
  <c r="H1133" i="14" s="1"/>
  <c r="H1134" i="14"/>
  <c r="G1135" i="14"/>
  <c r="H1135" i="14" s="1"/>
  <c r="H1136" i="14"/>
  <c r="H1137" i="14"/>
  <c r="H1138" i="14"/>
  <c r="H1139" i="14"/>
  <c r="H1142" i="14"/>
  <c r="H1143" i="14"/>
  <c r="H1144" i="14"/>
  <c r="G1145" i="14"/>
  <c r="H1145" i="14" s="1"/>
  <c r="G1146" i="14"/>
  <c r="H1146" i="14"/>
  <c r="G1147" i="14"/>
  <c r="H1147" i="14" s="1"/>
  <c r="H1148" i="14"/>
  <c r="H1149" i="14"/>
  <c r="H1150" i="14"/>
  <c r="H1151" i="14"/>
  <c r="H1152" i="14"/>
  <c r="H1153" i="14"/>
  <c r="H1154" i="14"/>
  <c r="G1155" i="14"/>
  <c r="H1155" i="14" s="1"/>
  <c r="G1156" i="14"/>
  <c r="H1156" i="14" s="1"/>
  <c r="G1157" i="14"/>
  <c r="H1157" i="14"/>
  <c r="H1158" i="14"/>
  <c r="E1161" i="14"/>
  <c r="E1160" i="14" s="1"/>
  <c r="F1161" i="14"/>
  <c r="F1160" i="14" s="1"/>
  <c r="H1162" i="14"/>
  <c r="H1163" i="14"/>
  <c r="H1164" i="14"/>
  <c r="G1165" i="14"/>
  <c r="G1161" i="14" s="1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7" i="14"/>
  <c r="H1178" i="14"/>
  <c r="H1179" i="14"/>
  <c r="H1180" i="14"/>
  <c r="E1182" i="14"/>
  <c r="F1182" i="14"/>
  <c r="H1184" i="14"/>
  <c r="H1185" i="14"/>
  <c r="G1186" i="14"/>
  <c r="G1182" i="14" s="1"/>
  <c r="H1187" i="14"/>
  <c r="H1188" i="14"/>
  <c r="H1189" i="14"/>
  <c r="H1190" i="14"/>
  <c r="H1191" i="14"/>
  <c r="H1192" i="14"/>
  <c r="H1193" i="14"/>
  <c r="H1194" i="14"/>
  <c r="H1195" i="14"/>
  <c r="G1200" i="14"/>
  <c r="E1201" i="14"/>
  <c r="E1200" i="14" s="1"/>
  <c r="E1199" i="14" s="1"/>
  <c r="E1198" i="14" s="1"/>
  <c r="E1197" i="14" s="1"/>
  <c r="F1201" i="14"/>
  <c r="F1200" i="14" s="1"/>
  <c r="F1199" i="14" s="1"/>
  <c r="F1198" i="14" s="1"/>
  <c r="F1197" i="14" s="1"/>
  <c r="G1201" i="14"/>
  <c r="H1202" i="14"/>
  <c r="H1204" i="14"/>
  <c r="H1207" i="14"/>
  <c r="H1208" i="14"/>
  <c r="H1209" i="14"/>
  <c r="E1211" i="14"/>
  <c r="E1210" i="14" s="1"/>
  <c r="E1206" i="14" s="1"/>
  <c r="F1211" i="14"/>
  <c r="F1210" i="14" s="1"/>
  <c r="F1206" i="14" s="1"/>
  <c r="G1211" i="14"/>
  <c r="H1212" i="14"/>
  <c r="E1213" i="14"/>
  <c r="H1214" i="14"/>
  <c r="H1215" i="14"/>
  <c r="H1216" i="14"/>
  <c r="E1219" i="14"/>
  <c r="E1218" i="14" s="1"/>
  <c r="E1217" i="14" s="1"/>
  <c r="F1219" i="14"/>
  <c r="F1218" i="14" s="1"/>
  <c r="G1219" i="14"/>
  <c r="G1218" i="14" s="1"/>
  <c r="H1220" i="14"/>
  <c r="E1223" i="14"/>
  <c r="E1222" i="14" s="1"/>
  <c r="E1221" i="14" s="1"/>
  <c r="F1223" i="14"/>
  <c r="F1222" i="14" s="1"/>
  <c r="F1221" i="14" s="1"/>
  <c r="G1223" i="14"/>
  <c r="H1224" i="14"/>
  <c r="E1227" i="14"/>
  <c r="E1226" i="14" s="1"/>
  <c r="E1225" i="14" s="1"/>
  <c r="F1227" i="14"/>
  <c r="G1227" i="14"/>
  <c r="G1226" i="14" s="1"/>
  <c r="H1228" i="14"/>
  <c r="E1231" i="14"/>
  <c r="E1230" i="14" s="1"/>
  <c r="F1231" i="14"/>
  <c r="G1231" i="14"/>
  <c r="G1230" i="14" s="1"/>
  <c r="H1232" i="14"/>
  <c r="E1235" i="14"/>
  <c r="E1234" i="14" s="1"/>
  <c r="E1233" i="14" s="1"/>
  <c r="F1235" i="14"/>
  <c r="F1234" i="14" s="1"/>
  <c r="F1233" i="14" s="1"/>
  <c r="G1235" i="14"/>
  <c r="G1234" i="14" s="1"/>
  <c r="G1233" i="14" s="1"/>
  <c r="H1236" i="14"/>
  <c r="H1237" i="14"/>
  <c r="H1238" i="14"/>
  <c r="H1239" i="14"/>
  <c r="E1243" i="14"/>
  <c r="E1242" i="14" s="1"/>
  <c r="F1243" i="14"/>
  <c r="G1243" i="14"/>
  <c r="G1242" i="14" s="1"/>
  <c r="H1244" i="14"/>
  <c r="H1245" i="14"/>
  <c r="E1247" i="14"/>
  <c r="E1241" i="14" s="1"/>
  <c r="F1247" i="14"/>
  <c r="G1247" i="14"/>
  <c r="H1248" i="14"/>
  <c r="H1249" i="14"/>
  <c r="H1250" i="14"/>
  <c r="H1251" i="14"/>
  <c r="H1252" i="14"/>
  <c r="E1255" i="14"/>
  <c r="E1254" i="14" s="1"/>
  <c r="F1255" i="14"/>
  <c r="F1254" i="14" s="1"/>
  <c r="G1255" i="14"/>
  <c r="G1254" i="14" s="1"/>
  <c r="H1256" i="14"/>
  <c r="H1257" i="14"/>
  <c r="H1258" i="14"/>
  <c r="H1259" i="14"/>
  <c r="H1260" i="14"/>
  <c r="H1261" i="14"/>
  <c r="H1262" i="14"/>
  <c r="E1266" i="14"/>
  <c r="E1265" i="14" s="1"/>
  <c r="E1264" i="14" s="1"/>
  <c r="E1263" i="14" s="1"/>
  <c r="F1266" i="14"/>
  <c r="G1266" i="14"/>
  <c r="G1265" i="14" s="1"/>
  <c r="H1267" i="14"/>
  <c r="E1270" i="14"/>
  <c r="E1269" i="14" s="1"/>
  <c r="E1268" i="14" s="1"/>
  <c r="F1270" i="14"/>
  <c r="F1269" i="14" s="1"/>
  <c r="F1268" i="14" s="1"/>
  <c r="G1270" i="14"/>
  <c r="G1269" i="14" s="1"/>
  <c r="H1271" i="14"/>
  <c r="E1276" i="14"/>
  <c r="E1275" i="14" s="1"/>
  <c r="E1274" i="14" s="1"/>
  <c r="F1276" i="14"/>
  <c r="F1275" i="14" s="1"/>
  <c r="F1274" i="14" s="1"/>
  <c r="G1277" i="14"/>
  <c r="H1277" i="14" s="1"/>
  <c r="E1279" i="14"/>
  <c r="E1280" i="14"/>
  <c r="F1280" i="14"/>
  <c r="F1279" i="14" s="1"/>
  <c r="G1280" i="14"/>
  <c r="H1281" i="14"/>
  <c r="E1285" i="14"/>
  <c r="E1284" i="14" s="1"/>
  <c r="F1285" i="14"/>
  <c r="F1284" i="14" s="1"/>
  <c r="G1285" i="14"/>
  <c r="G1284" i="14" s="1"/>
  <c r="H1286" i="14"/>
  <c r="F1288" i="14"/>
  <c r="E1289" i="14"/>
  <c r="E1288" i="14" s="1"/>
  <c r="F1289" i="14"/>
  <c r="G1289" i="14"/>
  <c r="G1288" i="14" s="1"/>
  <c r="H1288" i="14" s="1"/>
  <c r="H1290" i="14"/>
  <c r="E1294" i="14"/>
  <c r="E1293" i="14" s="1"/>
  <c r="F1294" i="14"/>
  <c r="G1294" i="14"/>
  <c r="H1295" i="14"/>
  <c r="H1296" i="14"/>
  <c r="H1297" i="14"/>
  <c r="H1298" i="14"/>
  <c r="H1299" i="14"/>
  <c r="H1300" i="14"/>
  <c r="H1301" i="14"/>
  <c r="H1302" i="14"/>
  <c r="E1304" i="14"/>
  <c r="F1304" i="14"/>
  <c r="G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E1321" i="14"/>
  <c r="F1321" i="14"/>
  <c r="G1321" i="14"/>
  <c r="H1321" i="14" s="1"/>
  <c r="H1322" i="14"/>
  <c r="H1323" i="14"/>
  <c r="H1324" i="14"/>
  <c r="H1325" i="14"/>
  <c r="H1326" i="14"/>
  <c r="H1328" i="14"/>
  <c r="H1329" i="14"/>
  <c r="H1330" i="14"/>
  <c r="E1332" i="14"/>
  <c r="E1331" i="14" s="1"/>
  <c r="E1327" i="14" s="1"/>
  <c r="F1332" i="14"/>
  <c r="G1332" i="14"/>
  <c r="G1331" i="14" s="1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E1359" i="14"/>
  <c r="E1358" i="14" s="1"/>
  <c r="F1359" i="14"/>
  <c r="G1359" i="14"/>
  <c r="H1360" i="14"/>
  <c r="H1361" i="14"/>
  <c r="H1362" i="14"/>
  <c r="H1363" i="14"/>
  <c r="H1364" i="14"/>
  <c r="H1365" i="14"/>
  <c r="H1366" i="14"/>
  <c r="E1368" i="14"/>
  <c r="F1368" i="14"/>
  <c r="G1368" i="14"/>
  <c r="H1369" i="14"/>
  <c r="H1370" i="14"/>
  <c r="H1371" i="14"/>
  <c r="H1372" i="14"/>
  <c r="E1374" i="14"/>
  <c r="E1357" i="14" s="1"/>
  <c r="E1356" i="14" s="1"/>
  <c r="F1374" i="14"/>
  <c r="G1374" i="14"/>
  <c r="H1374" i="14" s="1"/>
  <c r="H1375" i="14"/>
  <c r="E1379" i="14"/>
  <c r="F1379" i="14"/>
  <c r="G1379" i="14"/>
  <c r="G1378" i="14" s="1"/>
  <c r="H1380" i="14"/>
  <c r="H1381" i="14"/>
  <c r="H1382" i="14"/>
  <c r="H1383" i="14"/>
  <c r="H1384" i="14"/>
  <c r="H1385" i="14"/>
  <c r="H1386" i="14"/>
  <c r="H1387" i="14"/>
  <c r="E1389" i="14"/>
  <c r="F1389" i="14"/>
  <c r="G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9" i="14"/>
  <c r="H1410" i="14"/>
  <c r="H1411" i="14"/>
  <c r="E1412" i="14"/>
  <c r="F1412" i="14"/>
  <c r="G1412" i="14"/>
  <c r="H1412" i="14" s="1"/>
  <c r="H1413" i="14"/>
  <c r="H1414" i="14"/>
  <c r="E1416" i="14"/>
  <c r="F1416" i="14"/>
  <c r="G1416" i="14"/>
  <c r="H1416" i="14" s="1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F1435" i="14"/>
  <c r="F1434" i="14" s="1"/>
  <c r="G1435" i="14"/>
  <c r="G1434" i="14" s="1"/>
  <c r="E1441" i="14"/>
  <c r="F1441" i="14"/>
  <c r="G1441" i="14"/>
  <c r="H1441" i="14" s="1"/>
  <c r="H1442" i="14"/>
  <c r="H1443" i="14"/>
  <c r="H1444" i="14"/>
  <c r="H1445" i="14"/>
  <c r="H1446" i="14"/>
  <c r="H1447" i="14"/>
  <c r="H1448" i="14"/>
  <c r="H1449" i="14"/>
  <c r="E1451" i="14"/>
  <c r="F1451" i="14"/>
  <c r="G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E1465" i="14"/>
  <c r="F1465" i="14"/>
  <c r="G1465" i="14"/>
  <c r="H1466" i="14"/>
  <c r="E1468" i="14"/>
  <c r="F1468" i="14"/>
  <c r="G1468" i="14"/>
  <c r="H1468" i="14" s="1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E1516" i="14"/>
  <c r="E1515" i="14" s="1"/>
  <c r="F1516" i="14"/>
  <c r="G1516" i="14"/>
  <c r="G1515" i="14" s="1"/>
  <c r="H1517" i="14"/>
  <c r="H1518" i="14"/>
  <c r="H1519" i="14"/>
  <c r="H1520" i="14"/>
  <c r="H1521" i="14"/>
  <c r="H1522" i="14"/>
  <c r="H1523" i="14"/>
  <c r="H1524" i="14"/>
  <c r="E1528" i="14"/>
  <c r="F1528" i="14"/>
  <c r="G1528" i="14"/>
  <c r="H1529" i="14"/>
  <c r="H1530" i="14"/>
  <c r="H1531" i="14"/>
  <c r="H1532" i="14"/>
  <c r="H1533" i="14"/>
  <c r="H1534" i="14"/>
  <c r="H1535" i="14"/>
  <c r="H1536" i="14"/>
  <c r="E1538" i="14"/>
  <c r="F1538" i="14"/>
  <c r="G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E1557" i="14"/>
  <c r="F1557" i="14"/>
  <c r="G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E1594" i="14"/>
  <c r="F1594" i="14"/>
  <c r="G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E1608" i="14"/>
  <c r="E1607" i="14" s="1"/>
  <c r="F1608" i="14"/>
  <c r="F1607" i="14" s="1"/>
  <c r="G1608" i="14"/>
  <c r="G1607" i="14" s="1"/>
  <c r="E1614" i="14"/>
  <c r="F1614" i="14"/>
  <c r="F1613" i="14" s="1"/>
  <c r="G1614" i="14"/>
  <c r="H1615" i="14"/>
  <c r="H1616" i="14"/>
  <c r="H1617" i="14"/>
  <c r="H1618" i="14"/>
  <c r="H1619" i="14"/>
  <c r="H1620" i="14"/>
  <c r="E1622" i="14"/>
  <c r="F1622" i="14"/>
  <c r="H1622" i="14" s="1"/>
  <c r="G1622" i="14"/>
  <c r="H1623" i="14"/>
  <c r="H1624" i="14"/>
  <c r="H1625" i="14"/>
  <c r="H1626" i="14"/>
  <c r="H1627" i="14"/>
  <c r="H1628" i="14"/>
  <c r="E1630" i="14"/>
  <c r="F1630" i="14"/>
  <c r="G1630" i="14"/>
  <c r="H1630" i="14" s="1"/>
  <c r="H1631" i="14"/>
  <c r="H1632" i="14"/>
  <c r="H1633" i="14"/>
  <c r="H1634" i="14"/>
  <c r="H1635" i="14"/>
  <c r="H1636" i="14"/>
  <c r="E1638" i="14"/>
  <c r="F1638" i="14"/>
  <c r="G1638" i="14"/>
  <c r="H1639" i="14"/>
  <c r="H1640" i="14"/>
  <c r="H1641" i="14"/>
  <c r="E1643" i="14"/>
  <c r="F1643" i="14"/>
  <c r="G1643" i="14"/>
  <c r="H1643" i="14"/>
  <c r="H1644" i="14"/>
  <c r="H1645" i="14"/>
  <c r="H1646" i="14"/>
  <c r="H1647" i="14"/>
  <c r="H1649" i="14"/>
  <c r="H1650" i="14"/>
  <c r="H1651" i="14"/>
  <c r="H1652" i="14"/>
  <c r="H1653" i="14"/>
  <c r="H1654" i="14"/>
  <c r="F1656" i="14"/>
  <c r="E1657" i="14"/>
  <c r="E1656" i="14" s="1"/>
  <c r="F1657" i="14"/>
  <c r="G1657" i="14"/>
  <c r="G1656" i="14" s="1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3" i="14"/>
  <c r="H1694" i="14"/>
  <c r="H1695" i="14"/>
  <c r="H1696" i="14"/>
  <c r="E1697" i="14"/>
  <c r="E1692" i="14" s="1"/>
  <c r="E1691" i="14" s="1"/>
  <c r="F1697" i="14"/>
  <c r="F1692" i="14" s="1"/>
  <c r="G1697" i="14"/>
  <c r="H1698" i="14"/>
  <c r="H1699" i="14"/>
  <c r="E1702" i="14"/>
  <c r="E1701" i="14" s="1"/>
  <c r="F1702" i="14"/>
  <c r="F1701" i="14" s="1"/>
  <c r="G1702" i="14"/>
  <c r="H1702" i="14" s="1"/>
  <c r="H1704" i="14"/>
  <c r="H1705" i="14"/>
  <c r="H1706" i="14"/>
  <c r="H1707" i="14"/>
  <c r="H1708" i="14"/>
  <c r="H1709" i="14"/>
  <c r="H1710" i="14"/>
  <c r="H1713" i="14"/>
  <c r="H1714" i="14"/>
  <c r="H1715" i="14"/>
  <c r="H1716" i="14"/>
  <c r="E1717" i="14"/>
  <c r="E1712" i="14" s="1"/>
  <c r="F1717" i="14"/>
  <c r="F1712" i="14" s="1"/>
  <c r="G1717" i="14"/>
  <c r="H1717" i="14" s="1"/>
  <c r="H1718" i="14"/>
  <c r="E1721" i="14"/>
  <c r="E1720" i="14" s="1"/>
  <c r="F1721" i="14"/>
  <c r="F1720" i="14" s="1"/>
  <c r="G1721" i="14"/>
  <c r="G1720" i="14" s="1"/>
  <c r="H1722" i="14"/>
  <c r="E1725" i="14"/>
  <c r="E1724" i="14" s="1"/>
  <c r="E1723" i="14" s="1"/>
  <c r="F1725" i="14"/>
  <c r="F1724" i="14" s="1"/>
  <c r="G1725" i="14"/>
  <c r="H1726" i="14"/>
  <c r="E1728" i="14"/>
  <c r="E1729" i="14"/>
  <c r="F1729" i="14"/>
  <c r="F1728" i="14" s="1"/>
  <c r="G1729" i="14"/>
  <c r="H1729" i="14" s="1"/>
  <c r="H1730" i="14"/>
  <c r="H1732" i="14"/>
  <c r="H1733" i="14"/>
  <c r="H1734" i="14"/>
  <c r="H1735" i="14"/>
  <c r="E1737" i="14"/>
  <c r="F1737" i="14"/>
  <c r="F1736" i="14" s="1"/>
  <c r="F1731" i="14" s="1"/>
  <c r="G1737" i="14"/>
  <c r="G1736" i="14" s="1"/>
  <c r="H1738" i="14"/>
  <c r="G1741" i="14"/>
  <c r="E1742" i="14"/>
  <c r="E1741" i="14" s="1"/>
  <c r="F1742" i="14"/>
  <c r="G1742" i="14"/>
  <c r="H1743" i="14"/>
  <c r="E1745" i="14"/>
  <c r="F1745" i="14"/>
  <c r="G1745" i="14"/>
  <c r="H1745" i="14" s="1"/>
  <c r="H1746" i="14"/>
  <c r="E1749" i="14"/>
  <c r="E1748" i="14" s="1"/>
  <c r="F1749" i="14"/>
  <c r="F1748" i="14" s="1"/>
  <c r="G1749" i="14"/>
  <c r="H1750" i="14"/>
  <c r="H1751" i="14"/>
  <c r="H1752" i="14"/>
  <c r="H1753" i="14"/>
  <c r="H1754" i="14"/>
  <c r="H1755" i="14"/>
  <c r="E1758" i="14"/>
  <c r="E1757" i="14" s="1"/>
  <c r="E1756" i="14" s="1"/>
  <c r="F1758" i="14"/>
  <c r="F1757" i="14" s="1"/>
  <c r="F1756" i="14" s="1"/>
  <c r="G1758" i="14"/>
  <c r="H1759" i="14"/>
  <c r="E1763" i="14"/>
  <c r="E1762" i="14" s="1"/>
  <c r="E1761" i="14" s="1"/>
  <c r="E1760" i="14" s="1"/>
  <c r="F1763" i="14"/>
  <c r="F1762" i="14" s="1"/>
  <c r="G1763" i="14"/>
  <c r="G1762" i="14" s="1"/>
  <c r="H1764" i="14"/>
  <c r="H1765" i="14"/>
  <c r="H1766" i="14"/>
  <c r="E1768" i="14"/>
  <c r="F1768" i="14"/>
  <c r="G1768" i="14"/>
  <c r="H1769" i="14"/>
  <c r="H1771" i="14"/>
  <c r="H1772" i="14"/>
  <c r="H1773" i="14"/>
  <c r="E1777" i="14"/>
  <c r="E1776" i="14" s="1"/>
  <c r="E1775" i="14" s="1"/>
  <c r="E1774" i="14" s="1"/>
  <c r="F1777" i="14"/>
  <c r="F1776" i="14" s="1"/>
  <c r="F1775" i="14" s="1"/>
  <c r="F1774" i="14" s="1"/>
  <c r="G1777" i="14"/>
  <c r="G1776" i="14" s="1"/>
  <c r="H1778" i="14"/>
  <c r="E1782" i="14"/>
  <c r="F1782" i="14"/>
  <c r="G1782" i="14"/>
  <c r="G1781" i="14" s="1"/>
  <c r="H1783" i="14"/>
  <c r="H1784" i="14"/>
  <c r="H1785" i="14"/>
  <c r="H1786" i="14"/>
  <c r="E1788" i="14"/>
  <c r="F1788" i="14"/>
  <c r="G1788" i="14"/>
  <c r="H1788" i="14" s="1"/>
  <c r="H1789" i="14"/>
  <c r="E1793" i="14"/>
  <c r="F1793" i="14"/>
  <c r="F1792" i="14" s="1"/>
  <c r="G1793" i="14"/>
  <c r="H1793" i="14"/>
  <c r="H1794" i="14"/>
  <c r="E1796" i="14"/>
  <c r="F1796" i="14"/>
  <c r="G1796" i="14"/>
  <c r="H1797" i="14"/>
  <c r="E1799" i="14"/>
  <c r="F1799" i="14"/>
  <c r="G1799" i="14"/>
  <c r="H1799" i="14" s="1"/>
  <c r="H1800" i="14"/>
  <c r="H1801" i="14"/>
  <c r="E1803" i="14"/>
  <c r="F1803" i="14"/>
  <c r="G1803" i="14"/>
  <c r="H1804" i="14"/>
  <c r="H1805" i="14"/>
  <c r="H1806" i="14"/>
  <c r="H1807" i="14"/>
  <c r="E1809" i="14"/>
  <c r="E1810" i="14"/>
  <c r="F1810" i="14"/>
  <c r="F1809" i="14" s="1"/>
  <c r="G1810" i="14"/>
  <c r="H1811" i="14"/>
  <c r="H1812" i="14"/>
  <c r="E1814" i="14"/>
  <c r="F1814" i="14"/>
  <c r="G1814" i="14"/>
  <c r="H1814" i="14" s="1"/>
  <c r="H1815" i="14"/>
  <c r="H1816" i="14"/>
  <c r="E1821" i="14"/>
  <c r="E1820" i="14" s="1"/>
  <c r="F1821" i="14"/>
  <c r="G1821" i="14"/>
  <c r="G1820" i="14" s="1"/>
  <c r="H1822" i="14"/>
  <c r="E1824" i="14"/>
  <c r="F1824" i="14"/>
  <c r="G1824" i="14"/>
  <c r="H1824" i="14" s="1"/>
  <c r="H1825" i="14"/>
  <c r="H1826" i="14"/>
  <c r="H1827" i="14"/>
  <c r="H1828" i="14"/>
  <c r="H1829" i="14"/>
  <c r="H1830" i="14"/>
  <c r="H1831" i="14"/>
  <c r="H1832" i="14"/>
  <c r="E1836" i="14"/>
  <c r="F1836" i="14"/>
  <c r="G1836" i="14"/>
  <c r="H1837" i="14"/>
  <c r="H1838" i="14"/>
  <c r="H1839" i="14"/>
  <c r="H1840" i="14"/>
  <c r="H1841" i="14"/>
  <c r="H1842" i="14"/>
  <c r="E1844" i="14"/>
  <c r="F1844" i="14"/>
  <c r="G1844" i="14"/>
  <c r="H1845" i="14"/>
  <c r="H1846" i="14"/>
  <c r="H1847" i="14"/>
  <c r="H1848" i="14"/>
  <c r="H1849" i="14"/>
  <c r="H1850" i="14"/>
  <c r="H1851" i="14"/>
  <c r="H1852" i="14"/>
  <c r="H1853" i="14"/>
  <c r="H1855" i="14"/>
  <c r="H1857" i="14"/>
  <c r="H1858" i="14"/>
  <c r="H1859" i="14"/>
  <c r="H1860" i="14"/>
  <c r="H1861" i="14"/>
  <c r="H1862" i="14"/>
  <c r="H1863" i="14"/>
  <c r="H1864" i="14"/>
  <c r="H1865" i="14"/>
  <c r="E1867" i="14"/>
  <c r="F1867" i="14"/>
  <c r="G1867" i="14"/>
  <c r="H1868" i="14"/>
  <c r="E1870" i="14"/>
  <c r="F1870" i="14"/>
  <c r="G1870" i="14"/>
  <c r="H1870" i="14" s="1"/>
  <c r="H1871" i="14"/>
  <c r="E1874" i="14"/>
  <c r="E1873" i="14" s="1"/>
  <c r="F1874" i="14"/>
  <c r="F1873" i="14" s="1"/>
  <c r="G1874" i="14"/>
  <c r="G1873" i="14" s="1"/>
  <c r="H1875" i="14"/>
  <c r="H1876" i="14"/>
  <c r="E1880" i="14"/>
  <c r="F1880" i="14"/>
  <c r="F1879" i="14" s="1"/>
  <c r="G1880" i="14"/>
  <c r="H1881" i="14"/>
  <c r="H1882" i="14"/>
  <c r="H1883" i="14"/>
  <c r="H1884" i="14"/>
  <c r="H1885" i="14"/>
  <c r="H1886" i="14"/>
  <c r="E1888" i="14"/>
  <c r="F1888" i="14"/>
  <c r="G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E1911" i="14"/>
  <c r="F1911" i="14"/>
  <c r="G1911" i="14"/>
  <c r="H1912" i="14"/>
  <c r="E1914" i="14"/>
  <c r="F1914" i="14"/>
  <c r="G1914" i="14"/>
  <c r="H1915" i="14"/>
  <c r="F1916" i="14"/>
  <c r="G1916" i="14"/>
  <c r="H1918" i="14"/>
  <c r="H1921" i="14"/>
  <c r="H1924" i="14"/>
  <c r="H1927" i="14"/>
  <c r="H1929" i="14"/>
  <c r="H1930" i="14"/>
  <c r="H1932" i="14"/>
  <c r="H1936" i="14"/>
  <c r="H1937" i="14"/>
  <c r="H1938" i="14"/>
  <c r="H1939" i="14"/>
  <c r="H1940" i="14"/>
  <c r="H1941" i="14"/>
  <c r="H1943" i="14"/>
  <c r="H1945" i="14"/>
  <c r="H1946" i="14"/>
  <c r="H1947" i="14"/>
  <c r="H1948" i="14"/>
  <c r="H1949" i="14"/>
  <c r="H1950" i="14"/>
  <c r="E1971" i="14"/>
  <c r="E1970" i="14" s="1"/>
  <c r="E1916" i="14" s="1"/>
  <c r="F1971" i="14"/>
  <c r="F1970" i="14" s="1"/>
  <c r="G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G1998" i="14"/>
  <c r="E1999" i="14"/>
  <c r="E1998" i="14" s="1"/>
  <c r="E1997" i="14" s="1"/>
  <c r="F1999" i="14"/>
  <c r="F1998" i="14" s="1"/>
  <c r="F1997" i="14" s="1"/>
  <c r="G1999" i="14"/>
  <c r="H2000" i="14"/>
  <c r="H2001" i="14"/>
  <c r="E2004" i="14"/>
  <c r="E2003" i="14" s="1"/>
  <c r="F2004" i="14"/>
  <c r="F2003" i="14" s="1"/>
  <c r="G2004" i="14"/>
  <c r="G2003" i="14" s="1"/>
  <c r="H2005" i="14"/>
  <c r="E2009" i="14"/>
  <c r="E2008" i="14" s="1"/>
  <c r="E2007" i="14" s="1"/>
  <c r="F2009" i="14"/>
  <c r="G2009" i="14"/>
  <c r="G2008" i="14" s="1"/>
  <c r="H2010" i="14"/>
  <c r="H2011" i="14"/>
  <c r="E2015" i="14"/>
  <c r="F2015" i="14"/>
  <c r="G2015" i="14"/>
  <c r="H2016" i="14"/>
  <c r="H2017" i="14"/>
  <c r="H2019" i="14"/>
  <c r="H2020" i="14"/>
  <c r="H2021" i="14"/>
  <c r="E2023" i="14"/>
  <c r="F2023" i="14"/>
  <c r="G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E2089" i="14"/>
  <c r="E2088" i="14" s="1"/>
  <c r="F2089" i="14"/>
  <c r="F2088" i="14" s="1"/>
  <c r="G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E2104" i="14"/>
  <c r="E2103" i="14" s="1"/>
  <c r="E2102" i="14" s="1"/>
  <c r="F2104" i="14"/>
  <c r="F2103" i="14" s="1"/>
  <c r="F2102" i="14" s="1"/>
  <c r="G2104" i="14"/>
  <c r="H2105" i="14"/>
  <c r="H2106" i="14"/>
  <c r="H2107" i="14"/>
  <c r="H2108" i="14"/>
  <c r="H2109" i="14"/>
  <c r="H2110" i="14"/>
  <c r="H2111" i="14"/>
  <c r="H2112" i="14"/>
  <c r="E2116" i="14"/>
  <c r="E2115" i="14" s="1"/>
  <c r="F2116" i="14"/>
  <c r="G2116" i="14"/>
  <c r="H2117" i="14"/>
  <c r="H2118" i="14"/>
  <c r="H2119" i="14"/>
  <c r="H2120" i="14"/>
  <c r="H2121" i="14"/>
  <c r="H2122" i="14"/>
  <c r="E2124" i="14"/>
  <c r="F2124" i="14"/>
  <c r="G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E2145" i="14"/>
  <c r="F2145" i="14"/>
  <c r="G2145" i="14"/>
  <c r="H2145" i="14" s="1"/>
  <c r="H2146" i="14"/>
  <c r="H2147" i="14"/>
  <c r="E2149" i="14"/>
  <c r="F2149" i="14"/>
  <c r="H2150" i="14"/>
  <c r="G2151" i="14"/>
  <c r="H2151" i="14" s="1"/>
  <c r="G2152" i="14"/>
  <c r="H2152" i="14"/>
  <c r="G2153" i="14"/>
  <c r="H2153" i="14" s="1"/>
  <c r="G2154" i="14"/>
  <c r="H2154" i="14" s="1"/>
  <c r="G2155" i="14"/>
  <c r="H2155" i="14"/>
  <c r="G2156" i="14"/>
  <c r="H2156" i="14" s="1"/>
  <c r="G2157" i="14"/>
  <c r="H2157" i="14" s="1"/>
  <c r="G2158" i="14"/>
  <c r="H2158" i="14" s="1"/>
  <c r="G2159" i="14"/>
  <c r="H2159" i="14" s="1"/>
  <c r="G2160" i="14"/>
  <c r="H2160" i="14" s="1"/>
  <c r="G2161" i="14"/>
  <c r="H2161" i="14"/>
  <c r="H2162" i="14"/>
  <c r="G2163" i="14"/>
  <c r="H2163" i="14" s="1"/>
  <c r="G2164" i="14"/>
  <c r="H2164" i="14" s="1"/>
  <c r="G2165" i="14"/>
  <c r="H2165" i="14" s="1"/>
  <c r="G2166" i="14"/>
  <c r="H2166" i="14"/>
  <c r="G2167" i="14"/>
  <c r="H2167" i="14" s="1"/>
  <c r="G2168" i="14"/>
  <c r="H2168" i="14" s="1"/>
  <c r="G2169" i="14"/>
  <c r="H2169" i="14" s="1"/>
  <c r="G2170" i="14"/>
  <c r="H2170" i="14" s="1"/>
  <c r="G2171" i="14"/>
  <c r="H2171" i="14" s="1"/>
  <c r="G2172" i="14"/>
  <c r="H2172" i="14" s="1"/>
  <c r="G2173" i="14"/>
  <c r="H2173" i="14"/>
  <c r="G2174" i="14"/>
  <c r="H2174" i="14" s="1"/>
  <c r="H2175" i="14"/>
  <c r="H2176" i="14"/>
  <c r="H2177" i="14"/>
  <c r="H2178" i="14"/>
  <c r="G2181" i="14"/>
  <c r="H2181" i="14" s="1"/>
  <c r="G2182" i="14"/>
  <c r="H2182" i="14"/>
  <c r="G2183" i="14"/>
  <c r="G2184" i="14"/>
  <c r="H2185" i="14"/>
  <c r="H2186" i="14"/>
  <c r="G2187" i="14"/>
  <c r="H2187" i="14"/>
  <c r="G2188" i="14"/>
  <c r="H2188" i="14" s="1"/>
  <c r="G2189" i="14"/>
  <c r="H2189" i="14" s="1"/>
  <c r="G2190" i="14"/>
  <c r="H2190" i="14" s="1"/>
  <c r="G2191" i="14"/>
  <c r="H2191" i="14" s="1"/>
  <c r="G2192" i="14"/>
  <c r="H2192" i="14" s="1"/>
  <c r="E2195" i="14"/>
  <c r="E2194" i="14" s="1"/>
  <c r="F2195" i="14"/>
  <c r="F2194" i="14" s="1"/>
  <c r="G2195" i="14"/>
  <c r="G2194" i="14" s="1"/>
  <c r="H2197" i="14"/>
  <c r="H2198" i="14"/>
  <c r="H2199" i="14"/>
  <c r="H2200" i="14"/>
  <c r="H2201" i="14"/>
  <c r="H2202" i="14"/>
  <c r="H2203" i="14"/>
  <c r="E2206" i="14"/>
  <c r="F2206" i="14"/>
  <c r="G2206" i="14"/>
  <c r="H2207" i="14"/>
  <c r="H2208" i="14"/>
  <c r="H2209" i="14"/>
  <c r="H2210" i="14"/>
  <c r="H2211" i="14"/>
  <c r="H2212" i="14"/>
  <c r="E2214" i="14"/>
  <c r="E2205" i="14" s="1"/>
  <c r="F2214" i="14"/>
  <c r="G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E2235" i="14"/>
  <c r="E2234" i="14" s="1"/>
  <c r="F2235" i="14"/>
  <c r="F2234" i="14" s="1"/>
  <c r="G2235" i="14"/>
  <c r="H2236" i="14"/>
  <c r="H2237" i="14"/>
  <c r="E2242" i="14"/>
  <c r="F2242" i="14"/>
  <c r="G2242" i="14"/>
  <c r="H2243" i="14"/>
  <c r="H2244" i="14"/>
  <c r="H2245" i="14"/>
  <c r="H2246" i="14"/>
  <c r="H2247" i="14"/>
  <c r="H2248" i="14"/>
  <c r="H2249" i="14"/>
  <c r="E2251" i="14"/>
  <c r="F2251" i="14"/>
  <c r="G2251" i="14"/>
  <c r="H2251" i="14" s="1"/>
  <c r="H2252" i="14"/>
  <c r="H2253" i="14"/>
  <c r="H2254" i="14"/>
  <c r="H2255" i="14"/>
  <c r="H2256" i="14"/>
  <c r="H2257" i="14"/>
  <c r="H2258" i="14"/>
  <c r="E2260" i="14"/>
  <c r="F2260" i="14"/>
  <c r="G2260" i="14"/>
  <c r="H2260" i="14" s="1"/>
  <c r="H2261" i="14"/>
  <c r="E2264" i="14"/>
  <c r="E2263" i="14" s="1"/>
  <c r="E2262" i="14" s="1"/>
  <c r="F2264" i="14"/>
  <c r="F2263" i="14" s="1"/>
  <c r="F2262" i="14" s="1"/>
  <c r="G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E2289" i="14"/>
  <c r="E2288" i="14" s="1"/>
  <c r="E2287" i="14" s="1"/>
  <c r="F2289" i="14"/>
  <c r="G2289" i="14"/>
  <c r="H2290" i="14"/>
  <c r="H2291" i="14"/>
  <c r="H2292" i="14"/>
  <c r="H2293" i="14"/>
  <c r="H2294" i="14"/>
  <c r="H2295" i="14"/>
  <c r="H2296" i="14"/>
  <c r="E2298" i="14"/>
  <c r="F2298" i="14"/>
  <c r="G2298" i="14"/>
  <c r="H2299" i="14"/>
  <c r="H2300" i="14"/>
  <c r="H2301" i="14"/>
  <c r="H2302" i="14"/>
  <c r="H2303" i="14"/>
  <c r="H2304" i="14"/>
  <c r="H2305" i="14"/>
  <c r="H2306" i="14"/>
  <c r="H2307" i="14"/>
  <c r="E2309" i="14"/>
  <c r="F2309" i="14"/>
  <c r="G2309" i="14"/>
  <c r="H2310" i="14"/>
  <c r="G2312" i="14"/>
  <c r="E2313" i="14"/>
  <c r="E2312" i="14" s="1"/>
  <c r="F2313" i="14"/>
  <c r="G2313" i="14"/>
  <c r="H2314" i="14"/>
  <c r="E2317" i="14"/>
  <c r="E2316" i="14" s="1"/>
  <c r="E2315" i="14" s="1"/>
  <c r="F2317" i="14"/>
  <c r="F2316" i="14" s="1"/>
  <c r="F2315" i="14" s="1"/>
  <c r="G2317" i="14"/>
  <c r="G2316" i="14" s="1"/>
  <c r="H2318" i="14"/>
  <c r="H2319" i="14"/>
  <c r="H2320" i="14"/>
  <c r="H2321" i="14"/>
  <c r="H2322" i="14"/>
  <c r="E2326" i="14"/>
  <c r="E2325" i="14" s="1"/>
  <c r="E2324" i="14" s="1"/>
  <c r="E2327" i="14"/>
  <c r="F2327" i="14"/>
  <c r="F2326" i="14" s="1"/>
  <c r="F2325" i="14" s="1"/>
  <c r="F2324" i="14" s="1"/>
  <c r="G2327" i="14"/>
  <c r="H2328" i="14"/>
  <c r="H2329" i="14"/>
  <c r="G2331" i="14"/>
  <c r="G2330" i="14" s="1"/>
  <c r="E2332" i="14"/>
  <c r="E2331" i="14" s="1"/>
  <c r="E2330" i="14" s="1"/>
  <c r="F2332" i="14"/>
  <c r="F2331" i="14" s="1"/>
  <c r="F2330" i="14" s="1"/>
  <c r="G2332" i="14"/>
  <c r="H2332" i="14" s="1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E2384" i="14"/>
  <c r="F2384" i="14"/>
  <c r="F2383" i="14" s="1"/>
  <c r="F2382" i="14" s="1"/>
  <c r="F2381" i="14" s="1"/>
  <c r="G2384" i="14"/>
  <c r="H2385" i="14"/>
  <c r="H2386" i="14"/>
  <c r="H2387" i="14"/>
  <c r="H2388" i="14"/>
  <c r="H2389" i="14"/>
  <c r="H2390" i="14"/>
  <c r="E2392" i="14"/>
  <c r="F2392" i="14"/>
  <c r="G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E2409" i="14"/>
  <c r="F2409" i="14"/>
  <c r="G2409" i="14"/>
  <c r="H2410" i="14"/>
  <c r="E2412" i="14"/>
  <c r="E2411" i="14" s="1"/>
  <c r="E2414" i="14"/>
  <c r="E2413" i="14" s="1"/>
  <c r="F2414" i="14"/>
  <c r="F2413" i="14" s="1"/>
  <c r="G2414" i="14"/>
  <c r="H2414" i="14" s="1"/>
  <c r="H2415" i="14"/>
  <c r="E2417" i="14"/>
  <c r="F2417" i="14"/>
  <c r="G2417" i="14"/>
  <c r="H2418" i="14"/>
  <c r="H2419" i="14"/>
  <c r="H2420" i="14"/>
  <c r="H2422" i="14"/>
  <c r="H2423" i="14"/>
  <c r="H2424" i="14"/>
  <c r="H2425" i="14"/>
  <c r="H2426" i="14"/>
  <c r="H2427" i="14"/>
  <c r="H2428" i="14"/>
  <c r="H2430" i="14"/>
  <c r="H2431" i="14"/>
  <c r="H2432" i="14"/>
  <c r="E2434" i="14"/>
  <c r="E2433" i="14" s="1"/>
  <c r="E2429" i="14" s="1"/>
  <c r="F2434" i="14"/>
  <c r="F2433" i="14" s="1"/>
  <c r="F2429" i="14" s="1"/>
  <c r="G2434" i="14"/>
  <c r="H2434" i="14" s="1"/>
  <c r="H2435" i="14"/>
  <c r="E2439" i="14"/>
  <c r="E2438" i="14" s="1"/>
  <c r="F2439" i="14"/>
  <c r="F2438" i="14" s="1"/>
  <c r="G2439" i="14"/>
  <c r="H2440" i="14"/>
  <c r="H2441" i="14"/>
  <c r="H2442" i="14"/>
  <c r="E2444" i="14"/>
  <c r="F2444" i="14"/>
  <c r="G2444" i="14"/>
  <c r="H2445" i="14"/>
  <c r="E2449" i="14"/>
  <c r="E2448" i="14" s="1"/>
  <c r="E2447" i="14" s="1"/>
  <c r="E2446" i="14" s="1"/>
  <c r="F2449" i="14"/>
  <c r="F2448" i="14" s="1"/>
  <c r="F2447" i="14" s="1"/>
  <c r="F2446" i="14" s="1"/>
  <c r="G2449" i="14"/>
  <c r="H2450" i="14"/>
  <c r="H2451" i="14"/>
  <c r="H2452" i="14"/>
  <c r="H2453" i="14"/>
  <c r="H2454" i="14"/>
  <c r="H2455" i="14"/>
  <c r="H2456" i="14"/>
  <c r="H2457" i="14"/>
  <c r="H2458" i="14"/>
  <c r="H2459" i="14"/>
  <c r="G2462" i="14"/>
  <c r="G2461" i="14" s="1"/>
  <c r="E2463" i="14"/>
  <c r="F2463" i="14"/>
  <c r="G2463" i="14"/>
  <c r="H2464" i="14"/>
  <c r="H2465" i="14"/>
  <c r="H2466" i="14"/>
  <c r="E2468" i="14"/>
  <c r="F2468" i="14"/>
  <c r="H2468" i="14" s="1"/>
  <c r="G2468" i="14"/>
  <c r="H2469" i="14"/>
  <c r="H2470" i="14"/>
  <c r="H2471" i="14"/>
  <c r="H2472" i="14"/>
  <c r="H2473" i="14"/>
  <c r="H2474" i="14"/>
  <c r="E2478" i="14"/>
  <c r="F2478" i="14"/>
  <c r="G2478" i="14"/>
  <c r="H2479" i="14"/>
  <c r="H2480" i="14"/>
  <c r="H2481" i="14"/>
  <c r="E2483" i="14"/>
  <c r="F2483" i="14"/>
  <c r="H2483" i="14" s="1"/>
  <c r="G2483" i="14"/>
  <c r="H2484" i="14"/>
  <c r="H2485" i="14"/>
  <c r="E2489" i="14"/>
  <c r="F2489" i="14"/>
  <c r="G2489" i="14"/>
  <c r="H2490" i="14"/>
  <c r="H2491" i="14"/>
  <c r="H2492" i="14"/>
  <c r="E2494" i="14"/>
  <c r="F2494" i="14"/>
  <c r="G2494" i="14"/>
  <c r="H2495" i="14"/>
  <c r="H2496" i="14"/>
  <c r="E2500" i="14"/>
  <c r="E2499" i="14" s="1"/>
  <c r="E2498" i="14" s="1"/>
  <c r="E2497" i="14" s="1"/>
  <c r="F2500" i="14"/>
  <c r="G2500" i="14"/>
  <c r="H2500" i="14" s="1"/>
  <c r="H2501" i="14"/>
  <c r="H2502" i="14"/>
  <c r="H2503" i="14"/>
  <c r="E2505" i="14"/>
  <c r="F2505" i="14"/>
  <c r="G2505" i="14"/>
  <c r="H2505" i="14" s="1"/>
  <c r="H2506" i="14"/>
  <c r="H2507" i="14"/>
  <c r="E2511" i="14"/>
  <c r="F2511" i="14"/>
  <c r="G2511" i="14"/>
  <c r="H2512" i="14"/>
  <c r="H2513" i="14"/>
  <c r="H2514" i="14"/>
  <c r="H2515" i="14"/>
  <c r="E2517" i="14"/>
  <c r="F2517" i="14"/>
  <c r="G2517" i="14"/>
  <c r="G2510" i="14" s="1"/>
  <c r="H2518" i="14"/>
  <c r="H2519" i="14"/>
  <c r="H2520" i="14"/>
  <c r="H2521" i="14"/>
  <c r="E2523" i="14"/>
  <c r="F2523" i="14"/>
  <c r="G2523" i="14"/>
  <c r="H2524" i="14"/>
  <c r="F2526" i="14"/>
  <c r="E2527" i="14"/>
  <c r="E2526" i="14" s="1"/>
  <c r="F2527" i="14"/>
  <c r="G2527" i="14"/>
  <c r="G2526" i="14" s="1"/>
  <c r="H2528" i="14"/>
  <c r="H2529" i="14"/>
  <c r="G2533" i="14"/>
  <c r="E2534" i="14"/>
  <c r="E2533" i="14" s="1"/>
  <c r="F2534" i="14"/>
  <c r="F2533" i="14" s="1"/>
  <c r="G2534" i="14"/>
  <c r="H2535" i="14"/>
  <c r="E2537" i="14"/>
  <c r="F2537" i="14"/>
  <c r="G2537" i="14"/>
  <c r="H2538" i="14"/>
  <c r="H2539" i="14"/>
  <c r="E2541" i="14"/>
  <c r="F2541" i="14"/>
  <c r="G2541" i="14"/>
  <c r="H2542" i="14"/>
  <c r="H2543" i="14"/>
  <c r="E2546" i="14"/>
  <c r="E2545" i="14" s="1"/>
  <c r="F2546" i="14"/>
  <c r="G2546" i="14"/>
  <c r="G2545" i="14" s="1"/>
  <c r="H2547" i="14"/>
  <c r="H2548" i="14"/>
  <c r="E2551" i="14"/>
  <c r="E2550" i="14" s="1"/>
  <c r="F2551" i="14"/>
  <c r="F2550" i="14" s="1"/>
  <c r="G2551" i="14"/>
  <c r="H2552" i="14"/>
  <c r="H2553" i="14"/>
  <c r="E2556" i="14"/>
  <c r="E2555" i="14" s="1"/>
  <c r="F2556" i="14"/>
  <c r="F2555" i="14" s="1"/>
  <c r="G2556" i="14"/>
  <c r="G2555" i="14" s="1"/>
  <c r="H2557" i="14"/>
  <c r="E2560" i="14"/>
  <c r="E2559" i="14" s="1"/>
  <c r="F2560" i="14"/>
  <c r="F2559" i="14" s="1"/>
  <c r="G2560" i="14"/>
  <c r="H2561" i="14"/>
  <c r="H2562" i="14"/>
  <c r="E2565" i="14"/>
  <c r="E2564" i="14" s="1"/>
  <c r="F2565" i="14"/>
  <c r="F2564" i="14" s="1"/>
  <c r="G2565" i="14"/>
  <c r="G2564" i="14" s="1"/>
  <c r="H2566" i="14"/>
  <c r="F2568" i="14"/>
  <c r="E2569" i="14"/>
  <c r="E2568" i="14" s="1"/>
  <c r="F2569" i="14"/>
  <c r="G2569" i="14"/>
  <c r="G2568" i="14" s="1"/>
  <c r="H2570" i="14"/>
  <c r="H2571" i="14"/>
  <c r="H2572" i="14"/>
  <c r="E2574" i="14"/>
  <c r="G2574" i="14"/>
  <c r="E2575" i="14"/>
  <c r="F2575" i="14"/>
  <c r="F2574" i="14" s="1"/>
  <c r="G2575" i="14"/>
  <c r="H2576" i="14"/>
  <c r="H2577" i="14"/>
  <c r="H2578" i="14"/>
  <c r="H2579" i="14"/>
  <c r="H2580" i="14"/>
  <c r="H2581" i="14"/>
  <c r="E2583" i="14"/>
  <c r="F2583" i="14"/>
  <c r="G2583" i="14"/>
  <c r="H2584" i="14"/>
  <c r="H2585" i="14"/>
  <c r="E2587" i="14"/>
  <c r="G2587" i="14"/>
  <c r="E2588" i="14"/>
  <c r="F2588" i="14"/>
  <c r="F2587" i="14" s="1"/>
  <c r="G2588" i="14"/>
  <c r="H2589" i="14"/>
  <c r="H2590" i="14"/>
  <c r="H2591" i="14"/>
  <c r="E2594" i="14"/>
  <c r="E2593" i="14" s="1"/>
  <c r="F2594" i="14"/>
  <c r="G2594" i="14"/>
  <c r="G2593" i="14" s="1"/>
  <c r="H2595" i="14"/>
  <c r="G2597" i="14"/>
  <c r="E2598" i="14"/>
  <c r="E2597" i="14" s="1"/>
  <c r="F2598" i="14"/>
  <c r="F2597" i="14" s="1"/>
  <c r="G2598" i="14"/>
  <c r="H2599" i="14"/>
  <c r="H2600" i="14"/>
  <c r="E2603" i="14"/>
  <c r="E2602" i="14" s="1"/>
  <c r="F2603" i="14"/>
  <c r="F2602" i="14" s="1"/>
  <c r="G2603" i="14"/>
  <c r="H2604" i="14"/>
  <c r="G2606" i="14"/>
  <c r="F2607" i="14"/>
  <c r="G2607" i="14"/>
  <c r="H2608" i="14"/>
  <c r="H2609" i="14"/>
  <c r="E2611" i="14"/>
  <c r="E2607" i="14" s="1"/>
  <c r="F2611" i="14"/>
  <c r="H2611" i="14" s="1"/>
  <c r="G2611" i="14"/>
  <c r="H2612" i="14"/>
  <c r="H2613" i="14"/>
  <c r="H2614" i="14"/>
  <c r="H2615" i="14"/>
  <c r="G2617" i="14"/>
  <c r="E2618" i="14"/>
  <c r="E2617" i="14" s="1"/>
  <c r="F2618" i="14"/>
  <c r="F2617" i="14" s="1"/>
  <c r="G2618" i="14"/>
  <c r="H2619" i="14"/>
  <c r="H2620" i="14"/>
  <c r="E2623" i="14"/>
  <c r="E2622" i="14" s="1"/>
  <c r="F2623" i="14"/>
  <c r="G2623" i="14"/>
  <c r="G2622" i="14" s="1"/>
  <c r="H2624" i="14"/>
  <c r="H2625" i="14"/>
  <c r="H2626" i="14"/>
  <c r="E2628" i="14"/>
  <c r="E2629" i="14"/>
  <c r="F2629" i="14"/>
  <c r="F2628" i="14" s="1"/>
  <c r="G2629" i="14"/>
  <c r="G2628" i="14" s="1"/>
  <c r="H2630" i="14"/>
  <c r="H2631" i="14"/>
  <c r="H2632" i="14"/>
  <c r="E2634" i="14"/>
  <c r="F2634" i="14"/>
  <c r="G2634" i="14"/>
  <c r="H2634" i="14" s="1"/>
  <c r="H2635" i="14"/>
  <c r="E2638" i="14"/>
  <c r="F2638" i="14"/>
  <c r="G2638" i="14"/>
  <c r="H2639" i="14"/>
  <c r="H2640" i="14"/>
  <c r="H2641" i="14"/>
  <c r="E2642" i="14"/>
  <c r="E2637" i="14" s="1"/>
  <c r="F2642" i="14"/>
  <c r="G2642" i="14"/>
  <c r="G2637" i="14" s="1"/>
  <c r="H2643" i="14"/>
  <c r="H2644" i="14"/>
  <c r="H2645" i="14"/>
  <c r="H2646" i="14"/>
  <c r="H2647" i="14"/>
  <c r="H2648" i="14"/>
  <c r="E2651" i="14"/>
  <c r="E2650" i="14" s="1"/>
  <c r="F2651" i="14"/>
  <c r="F2650" i="14" s="1"/>
  <c r="G2651" i="14"/>
  <c r="H2652" i="14"/>
  <c r="E2656" i="14"/>
  <c r="F2656" i="14"/>
  <c r="H2657" i="14"/>
  <c r="H2658" i="14"/>
  <c r="G2659" i="14"/>
  <c r="E2661" i="14"/>
  <c r="F2661" i="14"/>
  <c r="G2662" i="14"/>
  <c r="G2663" i="14"/>
  <c r="H2663" i="14" s="1"/>
  <c r="E2665" i="14"/>
  <c r="F2665" i="14"/>
  <c r="G2665" i="14"/>
  <c r="H2666" i="14"/>
  <c r="H2667" i="14"/>
  <c r="H2668" i="14"/>
  <c r="E2670" i="14"/>
  <c r="F2670" i="14"/>
  <c r="G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E2693" i="14"/>
  <c r="E2692" i="14" s="1"/>
  <c r="F2693" i="14"/>
  <c r="F2692" i="14" s="1"/>
  <c r="G2693" i="14"/>
  <c r="G2692" i="14" s="1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7" i="14"/>
  <c r="H2708" i="14"/>
  <c r="H2709" i="14"/>
  <c r="H2710" i="14"/>
  <c r="E2714" i="14"/>
  <c r="F2714" i="14"/>
  <c r="G2714" i="14"/>
  <c r="H2715" i="14"/>
  <c r="H2716" i="14"/>
  <c r="H2717" i="14"/>
  <c r="H2718" i="14"/>
  <c r="H2719" i="14"/>
  <c r="H2720" i="14"/>
  <c r="E2722" i="14"/>
  <c r="E2713" i="14" s="1"/>
  <c r="F2722" i="14"/>
  <c r="F2713" i="14" s="1"/>
  <c r="G2722" i="14"/>
  <c r="H2722" i="14" s="1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E2741" i="14"/>
  <c r="F2741" i="14"/>
  <c r="G2741" i="14"/>
  <c r="H2742" i="14"/>
  <c r="H2743" i="14"/>
  <c r="H2744" i="14"/>
  <c r="H2745" i="14"/>
  <c r="H2746" i="14"/>
  <c r="H2747" i="14"/>
  <c r="H2748" i="14"/>
  <c r="E2751" i="14"/>
  <c r="H2752" i="14"/>
  <c r="H2753" i="14"/>
  <c r="H2754" i="14"/>
  <c r="E2755" i="14"/>
  <c r="F2755" i="14"/>
  <c r="F2751" i="14" s="1"/>
  <c r="F2750" i="14" s="1"/>
  <c r="F2749" i="14" s="1"/>
  <c r="G2755" i="14"/>
  <c r="G2751" i="14" s="1"/>
  <c r="H2756" i="14"/>
  <c r="H2757" i="14"/>
  <c r="E2759" i="14"/>
  <c r="F2759" i="14"/>
  <c r="G2759" i="14"/>
  <c r="H2759" i="14" s="1"/>
  <c r="H2760" i="14"/>
  <c r="H2763" i="14"/>
  <c r="H2764" i="14"/>
  <c r="H2765" i="14"/>
  <c r="E2767" i="14"/>
  <c r="E2766" i="14" s="1"/>
  <c r="E2762" i="14" s="1"/>
  <c r="F2767" i="14"/>
  <c r="F2766" i="14" s="1"/>
  <c r="F2762" i="14" s="1"/>
  <c r="G2767" i="14"/>
  <c r="G2766" i="14" s="1"/>
  <c r="H2767" i="14"/>
  <c r="H2768" i="14"/>
  <c r="H2769" i="14"/>
  <c r="H2770" i="14"/>
  <c r="H2771" i="14"/>
  <c r="H2772" i="14"/>
  <c r="E2776" i="14"/>
  <c r="E2775" i="14" s="1"/>
  <c r="F2776" i="14"/>
  <c r="G2776" i="14"/>
  <c r="H2777" i="14"/>
  <c r="H2778" i="14"/>
  <c r="E2780" i="14"/>
  <c r="F2780" i="14"/>
  <c r="F2811" i="14" s="1"/>
  <c r="G2780" i="14"/>
  <c r="H2781" i="14"/>
  <c r="H2782" i="14"/>
  <c r="E2784" i="14"/>
  <c r="F2784" i="14"/>
  <c r="G2784" i="14"/>
  <c r="H2784" i="14" s="1"/>
  <c r="H2785" i="14"/>
  <c r="H2786" i="14"/>
  <c r="H2787" i="14"/>
  <c r="E2789" i="14"/>
  <c r="F2789" i="14"/>
  <c r="G2789" i="14"/>
  <c r="H2789" i="14" s="1"/>
  <c r="H2790" i="14"/>
  <c r="H2791" i="14"/>
  <c r="E2794" i="14"/>
  <c r="E2793" i="14" s="1"/>
  <c r="F2794" i="14"/>
  <c r="G2794" i="14"/>
  <c r="H2796" i="14"/>
  <c r="E2799" i="14"/>
  <c r="E2798" i="14" s="1"/>
  <c r="F2799" i="14"/>
  <c r="F2798" i="14" s="1"/>
  <c r="G2799" i="14"/>
  <c r="H2799" i="14" s="1"/>
  <c r="H2800" i="14"/>
  <c r="F2802" i="14"/>
  <c r="E2803" i="14"/>
  <c r="E2802" i="14" s="1"/>
  <c r="F2803" i="14"/>
  <c r="G2803" i="14"/>
  <c r="G2802" i="14" s="1"/>
  <c r="H2804" i="14"/>
  <c r="E2815" i="14"/>
  <c r="F2815" i="14"/>
  <c r="H2815" i="14" s="1"/>
  <c r="G2815" i="14"/>
  <c r="E2816" i="14"/>
  <c r="F2816" i="14"/>
  <c r="G2816" i="14"/>
  <c r="E2820" i="14"/>
  <c r="F2820" i="14"/>
  <c r="G2820" i="14"/>
  <c r="G2713" i="14" l="1"/>
  <c r="E583" i="14"/>
  <c r="E582" i="14" s="1"/>
  <c r="E581" i="14" s="1"/>
  <c r="F64" i="16"/>
  <c r="H2802" i="14"/>
  <c r="H2588" i="14"/>
  <c r="E2383" i="14"/>
  <c r="E1879" i="14"/>
  <c r="E1835" i="14"/>
  <c r="E1834" i="14" s="1"/>
  <c r="E1833" i="14" s="1"/>
  <c r="E1817" i="14" s="1"/>
  <c r="G1712" i="14"/>
  <c r="H1304" i="14"/>
  <c r="H1219" i="14"/>
  <c r="E954" i="14"/>
  <c r="H619" i="14"/>
  <c r="H469" i="14"/>
  <c r="F414" i="14"/>
  <c r="F1059" i="14"/>
  <c r="H2623" i="14"/>
  <c r="H2603" i="14"/>
  <c r="H2594" i="14"/>
  <c r="H2569" i="14"/>
  <c r="H2533" i="14"/>
  <c r="F2510" i="14"/>
  <c r="H2510" i="14" s="1"/>
  <c r="H2511" i="14"/>
  <c r="F2499" i="14"/>
  <c r="F2498" i="14" s="1"/>
  <c r="F2497" i="14" s="1"/>
  <c r="H2417" i="14"/>
  <c r="G1613" i="14"/>
  <c r="H1594" i="14"/>
  <c r="H1269" i="14"/>
  <c r="H1247" i="14"/>
  <c r="H1186" i="14"/>
  <c r="E1042" i="14"/>
  <c r="E1041" i="14" s="1"/>
  <c r="E1040" i="14" s="1"/>
  <c r="G813" i="14"/>
  <c r="G812" i="14" s="1"/>
  <c r="H788" i="14"/>
  <c r="H572" i="14"/>
  <c r="H559" i="14"/>
  <c r="F461" i="14"/>
  <c r="F460" i="14" s="1"/>
  <c r="H419" i="14"/>
  <c r="F328" i="14"/>
  <c r="F327" i="14" s="1"/>
  <c r="H319" i="14"/>
  <c r="H271" i="14"/>
  <c r="H170" i="14"/>
  <c r="H2629" i="14"/>
  <c r="E2204" i="14"/>
  <c r="H2194" i="14"/>
  <c r="H2015" i="14"/>
  <c r="F943" i="14"/>
  <c r="F942" i="14" s="1"/>
  <c r="F941" i="14" s="1"/>
  <c r="E813" i="14"/>
  <c r="E812" i="14" s="1"/>
  <c r="E811" i="14" s="1"/>
  <c r="F543" i="14"/>
  <c r="F542" i="14" s="1"/>
  <c r="F251" i="14"/>
  <c r="G219" i="14"/>
  <c r="G2532" i="14"/>
  <c r="G2531" i="14" s="1"/>
  <c r="E2712" i="14"/>
  <c r="E2711" i="14" s="1"/>
  <c r="E2655" i="14"/>
  <c r="E2654" i="14" s="1"/>
  <c r="E2653" i="14" s="1"/>
  <c r="F2606" i="14"/>
  <c r="F2605" i="14" s="1"/>
  <c r="H2605" i="14" s="1"/>
  <c r="E2567" i="14"/>
  <c r="H2546" i="14"/>
  <c r="H2409" i="14"/>
  <c r="H2392" i="14"/>
  <c r="H2242" i="14"/>
  <c r="H1911" i="14"/>
  <c r="H1888" i="14"/>
  <c r="H1796" i="14"/>
  <c r="F1781" i="14"/>
  <c r="F1780" i="14" s="1"/>
  <c r="F1779" i="14" s="1"/>
  <c r="F1761" i="14"/>
  <c r="F1760" i="14" s="1"/>
  <c r="H1749" i="14"/>
  <c r="G1293" i="14"/>
  <c r="G1292" i="14" s="1"/>
  <c r="H1091" i="14"/>
  <c r="H1062" i="14"/>
  <c r="F954" i="14"/>
  <c r="F953" i="14" s="1"/>
  <c r="F952" i="14" s="1"/>
  <c r="F583" i="14"/>
  <c r="F582" i="14" s="1"/>
  <c r="F581" i="14" s="1"/>
  <c r="E543" i="14"/>
  <c r="F437" i="14"/>
  <c r="F436" i="14" s="1"/>
  <c r="F435" i="14" s="1"/>
  <c r="E251" i="14"/>
  <c r="E250" i="14" s="1"/>
  <c r="E141" i="14"/>
  <c r="I92" i="16"/>
  <c r="E24" i="17"/>
  <c r="E2558" i="14"/>
  <c r="E2636" i="14"/>
  <c r="H2628" i="14"/>
  <c r="F2532" i="14"/>
  <c r="E2510" i="14"/>
  <c r="E2509" i="14" s="1"/>
  <c r="E2508" i="14" s="1"/>
  <c r="E2006" i="14"/>
  <c r="E1878" i="14"/>
  <c r="E1877" i="14" s="1"/>
  <c r="F1791" i="14"/>
  <c r="F1790" i="14" s="1"/>
  <c r="H2820" i="14"/>
  <c r="H2816" i="14"/>
  <c r="G2812" i="14"/>
  <c r="H2693" i="14"/>
  <c r="E2586" i="14"/>
  <c r="H2583" i="14"/>
  <c r="H2556" i="14"/>
  <c r="H2551" i="14"/>
  <c r="H2489" i="14"/>
  <c r="E2477" i="14"/>
  <c r="E2476" i="14" s="1"/>
  <c r="E2475" i="14" s="1"/>
  <c r="H2478" i="14"/>
  <c r="H2463" i="14"/>
  <c r="F2412" i="14"/>
  <c r="F2411" i="14" s="1"/>
  <c r="F2241" i="14"/>
  <c r="F2240" i="14" s="1"/>
  <c r="F2239" i="14" s="1"/>
  <c r="H1867" i="14"/>
  <c r="G1792" i="14"/>
  <c r="H1782" i="14"/>
  <c r="H1763" i="14"/>
  <c r="H696" i="14"/>
  <c r="H2692" i="14"/>
  <c r="F2622" i="14"/>
  <c r="F2621" i="14" s="1"/>
  <c r="G2605" i="14"/>
  <c r="H2575" i="14"/>
  <c r="F2545" i="14"/>
  <c r="H2545" i="14" s="1"/>
  <c r="F2488" i="14"/>
  <c r="F2487" i="14" s="1"/>
  <c r="F2486" i="14" s="1"/>
  <c r="H2317" i="14"/>
  <c r="E2241" i="14"/>
  <c r="E2240" i="14" s="1"/>
  <c r="E2239" i="14" s="1"/>
  <c r="E2238" i="14" s="1"/>
  <c r="H2195" i="14"/>
  <c r="H2004" i="14"/>
  <c r="F1996" i="14"/>
  <c r="H1874" i="14"/>
  <c r="E1819" i="14"/>
  <c r="E1818" i="14" s="1"/>
  <c r="H1777" i="14"/>
  <c r="H1762" i="14"/>
  <c r="G1761" i="14"/>
  <c r="F1612" i="14"/>
  <c r="F1611" i="14" s="1"/>
  <c r="H2766" i="14"/>
  <c r="F2593" i="14"/>
  <c r="H2593" i="14" s="1"/>
  <c r="E2437" i="14"/>
  <c r="E2436" i="14" s="1"/>
  <c r="E2421" i="14" s="1"/>
  <c r="E2114" i="14"/>
  <c r="H2618" i="14"/>
  <c r="H2607" i="14"/>
  <c r="E2596" i="14"/>
  <c r="H2598" i="14"/>
  <c r="H2574" i="14"/>
  <c r="F2549" i="14"/>
  <c r="G2499" i="14"/>
  <c r="F2462" i="14"/>
  <c r="H2462" i="14" s="1"/>
  <c r="H2803" i="14"/>
  <c r="F2813" i="14"/>
  <c r="H2714" i="14"/>
  <c r="F2655" i="14"/>
  <c r="F2654" i="14" s="1"/>
  <c r="F2653" i="14" s="1"/>
  <c r="H2651" i="14"/>
  <c r="G2650" i="14"/>
  <c r="H2650" i="14" s="1"/>
  <c r="E2621" i="14"/>
  <c r="G2602" i="14"/>
  <c r="H2602" i="14" s="1"/>
  <c r="E2819" i="14"/>
  <c r="H2565" i="14"/>
  <c r="H2534" i="14"/>
  <c r="H2527" i="14"/>
  <c r="H2523" i="14"/>
  <c r="F2509" i="14"/>
  <c r="F2508" i="14" s="1"/>
  <c r="H2494" i="14"/>
  <c r="F2437" i="14"/>
  <c r="F2436" i="14" s="1"/>
  <c r="G2413" i="14"/>
  <c r="H2413" i="14" s="1"/>
  <c r="H2316" i="14"/>
  <c r="G2315" i="14"/>
  <c r="H2315" i="14" s="1"/>
  <c r="H2309" i="14"/>
  <c r="H2298" i="14"/>
  <c r="E2286" i="14"/>
  <c r="F2205" i="14"/>
  <c r="F2204" i="14" s="1"/>
  <c r="H2023" i="14"/>
  <c r="E2813" i="14"/>
  <c r="H1844" i="14"/>
  <c r="H1810" i="14"/>
  <c r="H1803" i="14"/>
  <c r="E1792" i="14"/>
  <c r="E1791" i="14" s="1"/>
  <c r="E1790" i="14" s="1"/>
  <c r="E1781" i="14"/>
  <c r="E1780" i="14" s="1"/>
  <c r="E1779" i="14" s="1"/>
  <c r="H1768" i="14"/>
  <c r="F1691" i="14"/>
  <c r="G1527" i="14"/>
  <c r="H1451" i="14"/>
  <c r="F1440" i="14"/>
  <c r="F1439" i="14" s="1"/>
  <c r="F1438" i="14" s="1"/>
  <c r="G1160" i="14"/>
  <c r="H1160" i="14" s="1"/>
  <c r="H1161" i="14"/>
  <c r="H411" i="14"/>
  <c r="H276" i="14"/>
  <c r="H1758" i="14"/>
  <c r="H1737" i="14"/>
  <c r="H1721" i="14"/>
  <c r="H1656" i="14"/>
  <c r="H1557" i="14"/>
  <c r="H1538" i="14"/>
  <c r="E1527" i="14"/>
  <c r="E1526" i="14" s="1"/>
  <c r="E1525" i="14" s="1"/>
  <c r="H1285" i="14"/>
  <c r="H1255" i="14"/>
  <c r="H1235" i="14"/>
  <c r="H1182" i="14"/>
  <c r="E1061" i="14"/>
  <c r="E1060" i="14" s="1"/>
  <c r="H1031" i="14"/>
  <c r="H1020" i="14"/>
  <c r="E943" i="14"/>
  <c r="E942" i="14" s="1"/>
  <c r="E941" i="14" s="1"/>
  <c r="H927" i="14"/>
  <c r="G833" i="14"/>
  <c r="G832" i="14" s="1"/>
  <c r="H824" i="14"/>
  <c r="H814" i="14"/>
  <c r="H724" i="14"/>
  <c r="H697" i="14"/>
  <c r="E570" i="14"/>
  <c r="H538" i="14"/>
  <c r="H424" i="14"/>
  <c r="H412" i="14"/>
  <c r="F398" i="14"/>
  <c r="F386" i="14"/>
  <c r="F2819" i="14" s="1"/>
  <c r="E318" i="14"/>
  <c r="E317" i="14" s="1"/>
  <c r="H265" i="14"/>
  <c r="H181" i="14"/>
  <c r="F162" i="14"/>
  <c r="F161" i="14" s="1"/>
  <c r="F160" i="14" s="1"/>
  <c r="E11" i="14"/>
  <c r="E1740" i="14"/>
  <c r="E1739" i="14" s="1"/>
  <c r="E1711" i="14"/>
  <c r="H1465" i="14"/>
  <c r="G1440" i="14"/>
  <c r="H1389" i="14"/>
  <c r="F1378" i="14"/>
  <c r="F1377" i="14" s="1"/>
  <c r="F1376" i="14" s="1"/>
  <c r="G1276" i="14"/>
  <c r="H1233" i="14"/>
  <c r="F1042" i="14"/>
  <c r="F1041" i="14" s="1"/>
  <c r="F1040" i="14" s="1"/>
  <c r="F832" i="14"/>
  <c r="F831" i="14" s="1"/>
  <c r="E731" i="14"/>
  <c r="E730" i="14" s="1"/>
  <c r="E716" i="14" s="1"/>
  <c r="E674" i="14"/>
  <c r="E673" i="14" s="1"/>
  <c r="E672" i="14" s="1"/>
  <c r="G675" i="14"/>
  <c r="H675" i="14" s="1"/>
  <c r="H669" i="14"/>
  <c r="H624" i="14"/>
  <c r="H611" i="14"/>
  <c r="G571" i="14"/>
  <c r="H498" i="14"/>
  <c r="H286" i="14"/>
  <c r="H282" i="14"/>
  <c r="H253" i="14"/>
  <c r="E219" i="14"/>
  <c r="E218" i="14" s="1"/>
  <c r="E217" i="14" s="1"/>
  <c r="E162" i="14"/>
  <c r="E161" i="14" s="1"/>
  <c r="E160" i="14" s="1"/>
  <c r="H104" i="14"/>
  <c r="G12" i="14"/>
  <c r="G11" i="14" s="1"/>
  <c r="E1378" i="14"/>
  <c r="E1377" i="14" s="1"/>
  <c r="E1376" i="14" s="1"/>
  <c r="H1368" i="14"/>
  <c r="E1292" i="14"/>
  <c r="E1291" i="14" s="1"/>
  <c r="H1289" i="14"/>
  <c r="H1270" i="14"/>
  <c r="E953" i="14"/>
  <c r="E952" i="14" s="1"/>
  <c r="G955" i="14"/>
  <c r="H955" i="14" s="1"/>
  <c r="G943" i="14"/>
  <c r="H943" i="14" s="1"/>
  <c r="F830" i="14"/>
  <c r="E832" i="14"/>
  <c r="H796" i="14"/>
  <c r="G794" i="14"/>
  <c r="G793" i="14" s="1"/>
  <c r="H782" i="14"/>
  <c r="H736" i="14"/>
  <c r="F731" i="14"/>
  <c r="F730" i="14" s="1"/>
  <c r="F622" i="14"/>
  <c r="F621" i="14" s="1"/>
  <c r="F497" i="14"/>
  <c r="F496" i="14" s="1"/>
  <c r="F495" i="14" s="1"/>
  <c r="F459" i="14" s="1"/>
  <c r="H453" i="14"/>
  <c r="H369" i="14"/>
  <c r="H337" i="14"/>
  <c r="H323" i="14"/>
  <c r="H320" i="14"/>
  <c r="H311" i="14"/>
  <c r="H296" i="14"/>
  <c r="H259" i="14"/>
  <c r="H220" i="14"/>
  <c r="H143" i="14"/>
  <c r="G1268" i="14"/>
  <c r="H1268" i="14" s="1"/>
  <c r="E1240" i="14"/>
  <c r="F673" i="14"/>
  <c r="F672" i="14" s="1"/>
  <c r="E623" i="14"/>
  <c r="E622" i="14" s="1"/>
  <c r="E621" i="14" s="1"/>
  <c r="H386" i="14"/>
  <c r="F326" i="14"/>
  <c r="G328" i="14"/>
  <c r="H328" i="14" s="1"/>
  <c r="F318" i="14"/>
  <c r="F317" i="14" s="1"/>
  <c r="H241" i="14"/>
  <c r="H151" i="14"/>
  <c r="F141" i="14"/>
  <c r="H92" i="16"/>
  <c r="F57" i="16"/>
  <c r="E61" i="16"/>
  <c r="E57" i="16" s="1"/>
  <c r="E64" i="16"/>
  <c r="G69" i="16"/>
  <c r="F69" i="16" s="1"/>
  <c r="E69" i="16" s="1"/>
  <c r="G2509" i="14"/>
  <c r="H2384" i="14"/>
  <c r="G2383" i="14"/>
  <c r="E1996" i="14"/>
  <c r="E1736" i="14"/>
  <c r="E1731" i="14" s="1"/>
  <c r="E2818" i="14"/>
  <c r="E2817" i="14" s="1"/>
  <c r="F1213" i="14"/>
  <c r="F1217" i="14"/>
  <c r="E2462" i="14"/>
  <c r="E2461" i="14" s="1"/>
  <c r="E2460" i="14" s="1"/>
  <c r="E2810" i="14"/>
  <c r="H2662" i="14"/>
  <c r="G2661" i="14"/>
  <c r="H2661" i="14" s="1"/>
  <c r="H2568" i="14"/>
  <c r="G2567" i="14"/>
  <c r="H2776" i="14"/>
  <c r="H2741" i="14"/>
  <c r="G2813" i="14"/>
  <c r="H2813" i="14" s="1"/>
  <c r="H2713" i="14"/>
  <c r="G2712" i="14"/>
  <c r="H2617" i="14"/>
  <c r="E2549" i="14"/>
  <c r="H2537" i="14"/>
  <c r="E2532" i="14"/>
  <c r="E2531" i="14" s="1"/>
  <c r="H2517" i="14"/>
  <c r="G2460" i="14"/>
  <c r="H2449" i="14"/>
  <c r="G2448" i="14"/>
  <c r="F2288" i="14"/>
  <c r="F2287" i="14" s="1"/>
  <c r="F2810" i="14"/>
  <c r="F2809" i="14" s="1"/>
  <c r="E1273" i="14"/>
  <c r="E1272" i="14" s="1"/>
  <c r="G2819" i="14"/>
  <c r="E2811" i="14"/>
  <c r="H2780" i="14"/>
  <c r="F2775" i="14"/>
  <c r="F2774" i="14" s="1"/>
  <c r="H2751" i="14"/>
  <c r="G2750" i="14"/>
  <c r="H2670" i="14"/>
  <c r="H2665" i="14"/>
  <c r="G2636" i="14"/>
  <c r="H2636" i="14" s="1"/>
  <c r="H2638" i="14"/>
  <c r="G2621" i="14"/>
  <c r="H2541" i="14"/>
  <c r="H2526" i="14"/>
  <c r="E2488" i="14"/>
  <c r="E2487" i="14" s="1"/>
  <c r="E2486" i="14" s="1"/>
  <c r="H2444" i="14"/>
  <c r="H2439" i="14"/>
  <c r="G2438" i="14"/>
  <c r="H1880" i="14"/>
  <c r="G1879" i="14"/>
  <c r="G2762" i="14"/>
  <c r="H2794" i="14"/>
  <c r="G2793" i="14"/>
  <c r="F2567" i="14"/>
  <c r="H2560" i="14"/>
  <c r="G2559" i="14"/>
  <c r="F2812" i="14"/>
  <c r="G1692" i="14"/>
  <c r="H1697" i="14"/>
  <c r="E2797" i="14"/>
  <c r="F2814" i="14"/>
  <c r="E2774" i="14"/>
  <c r="E2773" i="14" s="1"/>
  <c r="E2750" i="14"/>
  <c r="E2749" i="14" s="1"/>
  <c r="E2706" i="14" s="1"/>
  <c r="F2637" i="14"/>
  <c r="F2636" i="14" s="1"/>
  <c r="H2642" i="14"/>
  <c r="H2597" i="14"/>
  <c r="G2596" i="14"/>
  <c r="E2812" i="14"/>
  <c r="F2797" i="14"/>
  <c r="F2793" i="14"/>
  <c r="F2818" i="14"/>
  <c r="F2817" i="14" s="1"/>
  <c r="F2712" i="14"/>
  <c r="F2711" i="14" s="1"/>
  <c r="F2706" i="14" s="1"/>
  <c r="H2659" i="14"/>
  <c r="G2656" i="14"/>
  <c r="F2596" i="14"/>
  <c r="H2587" i="14"/>
  <c r="G2586" i="14"/>
  <c r="H2564" i="14"/>
  <c r="F2558" i="14"/>
  <c r="H2555" i="14"/>
  <c r="H2532" i="14"/>
  <c r="F2477" i="14"/>
  <c r="F2476" i="14" s="1"/>
  <c r="F2475" i="14" s="1"/>
  <c r="F2461" i="14"/>
  <c r="F2460" i="14" s="1"/>
  <c r="F2323" i="14"/>
  <c r="H2330" i="14"/>
  <c r="G2149" i="14"/>
  <c r="H2149" i="14" s="1"/>
  <c r="H2116" i="14"/>
  <c r="G2115" i="14"/>
  <c r="H1998" i="14"/>
  <c r="G1997" i="14"/>
  <c r="F1878" i="14"/>
  <c r="F1877" i="14" s="1"/>
  <c r="H1781" i="14"/>
  <c r="G1780" i="14"/>
  <c r="H1761" i="14"/>
  <c r="G1760" i="14"/>
  <c r="H1760" i="14" s="1"/>
  <c r="G2798" i="14"/>
  <c r="G2775" i="14"/>
  <c r="H2755" i="14"/>
  <c r="E2606" i="14"/>
  <c r="E2605" i="14" s="1"/>
  <c r="G2550" i="14"/>
  <c r="G2488" i="14"/>
  <c r="F2312" i="14"/>
  <c r="H2313" i="14"/>
  <c r="G2288" i="14"/>
  <c r="H2206" i="14"/>
  <c r="G2205" i="14"/>
  <c r="F2115" i="14"/>
  <c r="F2114" i="14" s="1"/>
  <c r="F2113" i="14" s="1"/>
  <c r="F2101" i="14" s="1"/>
  <c r="F2008" i="14"/>
  <c r="F2007" i="14" s="1"/>
  <c r="F2006" i="14" s="1"/>
  <c r="H2009" i="14"/>
  <c r="H1725" i="14"/>
  <c r="G1724" i="14"/>
  <c r="H1720" i="14"/>
  <c r="E1690" i="14"/>
  <c r="G2477" i="14"/>
  <c r="G2433" i="14"/>
  <c r="H2264" i="14"/>
  <c r="G2263" i="14"/>
  <c r="H1836" i="14"/>
  <c r="G1835" i="14"/>
  <c r="H1792" i="14"/>
  <c r="G1791" i="14"/>
  <c r="F1741" i="14"/>
  <c r="F1740" i="14" s="1"/>
  <c r="F1739" i="14" s="1"/>
  <c r="H1742" i="14"/>
  <c r="F1723" i="14"/>
  <c r="F1711" i="14"/>
  <c r="H1712" i="14"/>
  <c r="G1711" i="14"/>
  <c r="H1284" i="14"/>
  <c r="G1283" i="14"/>
  <c r="E2382" i="14"/>
  <c r="E2381" i="14" s="1"/>
  <c r="E2323" i="14" s="1"/>
  <c r="H2327" i="14"/>
  <c r="G2326" i="14"/>
  <c r="H2312" i="14"/>
  <c r="G2241" i="14"/>
  <c r="H2124" i="14"/>
  <c r="H2104" i="14"/>
  <c r="G2103" i="14"/>
  <c r="H2089" i="14"/>
  <c r="G2088" i="14"/>
  <c r="H2088" i="14" s="1"/>
  <c r="G2007" i="14"/>
  <c r="H2003" i="14"/>
  <c r="H1999" i="14"/>
  <c r="H1914" i="14"/>
  <c r="H1873" i="14"/>
  <c r="F1835" i="14"/>
  <c r="F1834" i="14" s="1"/>
  <c r="F1833" i="14" s="1"/>
  <c r="F1820" i="14"/>
  <c r="F1819" i="14" s="1"/>
  <c r="F1818" i="14" s="1"/>
  <c r="H1821" i="14"/>
  <c r="H1736" i="14"/>
  <c r="G1731" i="14"/>
  <c r="H1731" i="14" s="1"/>
  <c r="H2331" i="14"/>
  <c r="H2289" i="14"/>
  <c r="H2235" i="14"/>
  <c r="G2234" i="14"/>
  <c r="H2234" i="14" s="1"/>
  <c r="H2214" i="14"/>
  <c r="E2113" i="14"/>
  <c r="E2101" i="14" s="1"/>
  <c r="H1971" i="14"/>
  <c r="G1970" i="14"/>
  <c r="H1970" i="14" s="1"/>
  <c r="H1776" i="14"/>
  <c r="G1775" i="14"/>
  <c r="F1283" i="14"/>
  <c r="F1265" i="14"/>
  <c r="F1264" i="14" s="1"/>
  <c r="F1263" i="14" s="1"/>
  <c r="H1266" i="14"/>
  <c r="G1225" i="14"/>
  <c r="G1213" i="14"/>
  <c r="H1213" i="14" s="1"/>
  <c r="H1218" i="14"/>
  <c r="H1200" i="14"/>
  <c r="G1199" i="14"/>
  <c r="G811" i="14"/>
  <c r="G1526" i="14"/>
  <c r="E1440" i="14"/>
  <c r="E1439" i="14" s="1"/>
  <c r="E1438" i="14" s="1"/>
  <c r="G1358" i="14"/>
  <c r="G1327" i="14"/>
  <c r="F1293" i="14"/>
  <c r="F1292" i="14" s="1"/>
  <c r="F1291" i="14" s="1"/>
  <c r="H1294" i="14"/>
  <c r="G1241" i="14"/>
  <c r="H1614" i="14"/>
  <c r="F1515" i="14"/>
  <c r="H1515" i="14" s="1"/>
  <c r="H1516" i="14"/>
  <c r="H1379" i="14"/>
  <c r="G1264" i="14"/>
  <c r="H1254" i="14"/>
  <c r="H1043" i="14"/>
  <c r="G1042" i="14"/>
  <c r="G942" i="14"/>
  <c r="H723" i="14"/>
  <c r="G722" i="14"/>
  <c r="F575" i="14"/>
  <c r="H575" i="14" s="1"/>
  <c r="H576" i="14"/>
  <c r="G1819" i="14"/>
  <c r="G1809" i="14"/>
  <c r="H1809" i="14" s="1"/>
  <c r="G1757" i="14"/>
  <c r="G1748" i="14"/>
  <c r="H1748" i="14" s="1"/>
  <c r="G1740" i="14"/>
  <c r="G1728" i="14"/>
  <c r="H1728" i="14" s="1"/>
  <c r="G1701" i="14"/>
  <c r="H1701" i="14" s="1"/>
  <c r="H1657" i="14"/>
  <c r="H1638" i="14"/>
  <c r="E1613" i="14"/>
  <c r="E1612" i="14" s="1"/>
  <c r="E1611" i="14" s="1"/>
  <c r="F1273" i="14"/>
  <c r="F1272" i="14" s="1"/>
  <c r="H1234" i="14"/>
  <c r="F1226" i="14"/>
  <c r="H1226" i="14" s="1"/>
  <c r="H1227" i="14"/>
  <c r="H1223" i="14"/>
  <c r="G1222" i="14"/>
  <c r="G1217" i="14"/>
  <c r="H1217" i="14" s="1"/>
  <c r="G1070" i="14"/>
  <c r="H1070" i="14" s="1"/>
  <c r="H1071" i="14"/>
  <c r="E580" i="14"/>
  <c r="H1613" i="14"/>
  <c r="G1612" i="14"/>
  <c r="F1527" i="14"/>
  <c r="F1526" i="14" s="1"/>
  <c r="F1525" i="14" s="1"/>
  <c r="H1528" i="14"/>
  <c r="H1378" i="14"/>
  <c r="G1377" i="14"/>
  <c r="F1358" i="14"/>
  <c r="F1357" i="14" s="1"/>
  <c r="F1356" i="14" s="1"/>
  <c r="H1359" i="14"/>
  <c r="F1331" i="14"/>
  <c r="F1327" i="14" s="1"/>
  <c r="H1332" i="14"/>
  <c r="E1283" i="14"/>
  <c r="H1280" i="14"/>
  <c r="G1279" i="14"/>
  <c r="H1279" i="14" s="1"/>
  <c r="F1242" i="14"/>
  <c r="F1241" i="14" s="1"/>
  <c r="F1240" i="14" s="1"/>
  <c r="H1243" i="14"/>
  <c r="F1230" i="14"/>
  <c r="H1230" i="14" s="1"/>
  <c r="H1231" i="14"/>
  <c r="H1211" i="14"/>
  <c r="G1210" i="14"/>
  <c r="H1107" i="14"/>
  <c r="G1094" i="14"/>
  <c r="H1094" i="14" s="1"/>
  <c r="E1059" i="14"/>
  <c r="H219" i="14"/>
  <c r="G218" i="14"/>
  <c r="E10" i="14"/>
  <c r="E9" i="14" s="1"/>
  <c r="G917" i="14"/>
  <c r="H817" i="14"/>
  <c r="F813" i="14"/>
  <c r="F812" i="14" s="1"/>
  <c r="F811" i="14" s="1"/>
  <c r="F716" i="14"/>
  <c r="F617" i="14"/>
  <c r="H618" i="14"/>
  <c r="H416" i="14"/>
  <c r="G415" i="14"/>
  <c r="H252" i="14"/>
  <c r="G251" i="14"/>
  <c r="E831" i="14"/>
  <c r="E830" i="14" s="1"/>
  <c r="F580" i="14"/>
  <c r="H438" i="14"/>
  <c r="G437" i="14"/>
  <c r="E398" i="14"/>
  <c r="H306" i="14"/>
  <c r="G305" i="14"/>
  <c r="H305" i="14" s="1"/>
  <c r="E275" i="14"/>
  <c r="H264" i="14"/>
  <c r="F12" i="14"/>
  <c r="F11" i="14" s="1"/>
  <c r="F10" i="14" s="1"/>
  <c r="H13" i="14"/>
  <c r="F1027" i="14"/>
  <c r="F1026" i="14" s="1"/>
  <c r="G870" i="14"/>
  <c r="H886" i="14"/>
  <c r="F570" i="14"/>
  <c r="E542" i="14"/>
  <c r="E541" i="14" s="1"/>
  <c r="H432" i="14"/>
  <c r="G431" i="14"/>
  <c r="E328" i="14"/>
  <c r="E327" i="14" s="1"/>
  <c r="E326" i="14" s="1"/>
  <c r="F250" i="14"/>
  <c r="F140" i="14"/>
  <c r="H1201" i="14"/>
  <c r="H1013" i="14"/>
  <c r="G960" i="14"/>
  <c r="H960" i="14" s="1"/>
  <c r="H813" i="14"/>
  <c r="H623" i="14"/>
  <c r="G622" i="14"/>
  <c r="H584" i="14"/>
  <c r="G583" i="14"/>
  <c r="H571" i="14"/>
  <c r="G570" i="14"/>
  <c r="H570" i="14" s="1"/>
  <c r="H563" i="14"/>
  <c r="G562" i="14"/>
  <c r="H562" i="14" s="1"/>
  <c r="H463" i="14"/>
  <c r="G462" i="14"/>
  <c r="E435" i="14"/>
  <c r="E414" i="14"/>
  <c r="E140" i="14"/>
  <c r="G731" i="14"/>
  <c r="H617" i="14"/>
  <c r="H545" i="14"/>
  <c r="H404" i="14"/>
  <c r="G403" i="14"/>
  <c r="H403" i="14" s="1"/>
  <c r="F218" i="14"/>
  <c r="F217" i="14" s="1"/>
  <c r="H45" i="14"/>
  <c r="G44" i="14"/>
  <c r="H44" i="14" s="1"/>
  <c r="G841" i="14"/>
  <c r="G674" i="14"/>
  <c r="G668" i="14"/>
  <c r="F537" i="14"/>
  <c r="H537" i="14" s="1"/>
  <c r="G497" i="14"/>
  <c r="G368" i="14"/>
  <c r="H368" i="14" s="1"/>
  <c r="H174" i="14"/>
  <c r="H834" i="14"/>
  <c r="H445" i="14"/>
  <c r="H420" i="14"/>
  <c r="H400" i="14"/>
  <c r="G285" i="14"/>
  <c r="H285" i="14" s="1"/>
  <c r="H242" i="14"/>
  <c r="G162" i="14"/>
  <c r="H152" i="14"/>
  <c r="G103" i="14"/>
  <c r="G781" i="14"/>
  <c r="H781" i="14" s="1"/>
  <c r="G544" i="14"/>
  <c r="H457" i="14"/>
  <c r="G410" i="14"/>
  <c r="H410" i="14" s="1"/>
  <c r="G318" i="14"/>
  <c r="G186" i="14"/>
  <c r="G141" i="14"/>
  <c r="H389" i="14"/>
  <c r="J7" i="13"/>
  <c r="J6" i="13" s="1"/>
  <c r="J10" i="13"/>
  <c r="J9" i="13" s="1"/>
  <c r="J13" i="13" s="1"/>
  <c r="H18" i="13"/>
  <c r="I18" i="13"/>
  <c r="J18" i="13"/>
  <c r="K18" i="13"/>
  <c r="G19" i="13"/>
  <c r="F19" i="13" s="1"/>
  <c r="F18" i="13" s="1"/>
  <c r="H20" i="13"/>
  <c r="I20" i="13"/>
  <c r="J20" i="13"/>
  <c r="K20" i="13"/>
  <c r="G21" i="13"/>
  <c r="F21" i="13" s="1"/>
  <c r="G22" i="13"/>
  <c r="F22" i="13" s="1"/>
  <c r="P534" i="13"/>
  <c r="H23" i="13" l="1"/>
  <c r="H2812" i="14"/>
  <c r="E792" i="14"/>
  <c r="H2621" i="14"/>
  <c r="H12" i="14"/>
  <c r="G327" i="14"/>
  <c r="F2773" i="14"/>
  <c r="H2606" i="14"/>
  <c r="J23" i="13"/>
  <c r="H833" i="14"/>
  <c r="F541" i="14"/>
  <c r="G2412" i="14"/>
  <c r="I23" i="13"/>
  <c r="F249" i="14"/>
  <c r="H794" i="14"/>
  <c r="H2819" i="14"/>
  <c r="F2761" i="14"/>
  <c r="G1275" i="14"/>
  <c r="H1276" i="14"/>
  <c r="K23" i="13"/>
  <c r="G275" i="14"/>
  <c r="H275" i="14" s="1"/>
  <c r="H1265" i="14"/>
  <c r="H1741" i="14"/>
  <c r="F1690" i="14"/>
  <c r="F2421" i="14"/>
  <c r="H2622" i="14"/>
  <c r="F92" i="16"/>
  <c r="E92" i="16"/>
  <c r="G2498" i="14"/>
  <c r="H2499" i="14"/>
  <c r="F2531" i="14"/>
  <c r="F2586" i="14"/>
  <c r="H2586" i="14" s="1"/>
  <c r="E249" i="14"/>
  <c r="F9" i="14"/>
  <c r="H812" i="14"/>
  <c r="H1440" i="14"/>
  <c r="G1439" i="14"/>
  <c r="G92" i="16"/>
  <c r="H870" i="14"/>
  <c r="G2814" i="14"/>
  <c r="H2814" i="14" s="1"/>
  <c r="H415" i="14"/>
  <c r="G414" i="14"/>
  <c r="H414" i="14" s="1"/>
  <c r="G1818" i="14"/>
  <c r="H1819" i="14"/>
  <c r="G1240" i="14"/>
  <c r="H1240" i="14" s="1"/>
  <c r="H1241" i="14"/>
  <c r="H544" i="14"/>
  <c r="G543" i="14"/>
  <c r="H841" i="14"/>
  <c r="G2811" i="14"/>
  <c r="H2811" i="14" s="1"/>
  <c r="H622" i="14"/>
  <c r="G621" i="14"/>
  <c r="H621" i="14" s="1"/>
  <c r="G2325" i="14"/>
  <c r="H2326" i="14"/>
  <c r="H2775" i="14"/>
  <c r="G2774" i="14"/>
  <c r="H2656" i="14"/>
  <c r="G2655" i="14"/>
  <c r="E2761" i="14"/>
  <c r="H1820" i="14"/>
  <c r="H2438" i="14"/>
  <c r="G2437" i="14"/>
  <c r="F2808" i="14"/>
  <c r="H2567" i="14"/>
  <c r="G2810" i="14"/>
  <c r="G673" i="14"/>
  <c r="H674" i="14"/>
  <c r="H832" i="14"/>
  <c r="G831" i="14"/>
  <c r="G422" i="14"/>
  <c r="H422" i="14" s="1"/>
  <c r="H431" i="14"/>
  <c r="H327" i="14"/>
  <c r="G326" i="14"/>
  <c r="H326" i="14" s="1"/>
  <c r="G1041" i="14"/>
  <c r="H1042" i="14"/>
  <c r="H1358" i="14"/>
  <c r="G1357" i="14"/>
  <c r="F1025" i="14"/>
  <c r="H1026" i="14"/>
  <c r="E1282" i="14"/>
  <c r="H1242" i="14"/>
  <c r="G1198" i="14"/>
  <c r="H1199" i="14"/>
  <c r="H141" i="14"/>
  <c r="G140" i="14"/>
  <c r="H140" i="14" s="1"/>
  <c r="G10" i="14"/>
  <c r="H11" i="14"/>
  <c r="G1221" i="14"/>
  <c r="H1221" i="14" s="1"/>
  <c r="H1222" i="14"/>
  <c r="G1739" i="14"/>
  <c r="H1739" i="14" s="1"/>
  <c r="H1740" i="14"/>
  <c r="G1525" i="14"/>
  <c r="H1525" i="14" s="1"/>
  <c r="H1526" i="14"/>
  <c r="G2102" i="14"/>
  <c r="H2103" i="14"/>
  <c r="H1711" i="14"/>
  <c r="H1791" i="14"/>
  <c r="G1790" i="14"/>
  <c r="H1790" i="14" s="1"/>
  <c r="G2411" i="14"/>
  <c r="H2411" i="14" s="1"/>
  <c r="H2412" i="14"/>
  <c r="H2798" i="14"/>
  <c r="G2797" i="14"/>
  <c r="H2797" i="14" s="1"/>
  <c r="H2596" i="14"/>
  <c r="H2559" i="14"/>
  <c r="G2558" i="14"/>
  <c r="H2558" i="14" s="1"/>
  <c r="H2762" i="14"/>
  <c r="H2750" i="14"/>
  <c r="G2749" i="14"/>
  <c r="H2749" i="14" s="1"/>
  <c r="F2286" i="14"/>
  <c r="F2238" i="14" s="1"/>
  <c r="H2712" i="14"/>
  <c r="G2711" i="14"/>
  <c r="G2382" i="14"/>
  <c r="H2383" i="14"/>
  <c r="G496" i="14"/>
  <c r="H497" i="14"/>
  <c r="H722" i="14"/>
  <c r="G721" i="14"/>
  <c r="H1527" i="14"/>
  <c r="H2488" i="14"/>
  <c r="G2487" i="14"/>
  <c r="G1291" i="14"/>
  <c r="H1291" i="14" s="1"/>
  <c r="H1292" i="14"/>
  <c r="H2448" i="14"/>
  <c r="G2447" i="14"/>
  <c r="H186" i="14"/>
  <c r="G185" i="14"/>
  <c r="H103" i="14"/>
  <c r="G102" i="14"/>
  <c r="H102" i="14" s="1"/>
  <c r="H437" i="14"/>
  <c r="G436" i="14"/>
  <c r="F1282" i="14"/>
  <c r="H251" i="14"/>
  <c r="G250" i="14"/>
  <c r="G1206" i="14"/>
  <c r="H1210" i="14"/>
  <c r="F1817" i="14"/>
  <c r="G2006" i="14"/>
  <c r="H2006" i="14" s="1"/>
  <c r="H2007" i="14"/>
  <c r="H1283" i="14"/>
  <c r="G1834" i="14"/>
  <c r="H1835" i="14"/>
  <c r="G2429" i="14"/>
  <c r="H2433" i="14"/>
  <c r="G1723" i="14"/>
  <c r="H1723" i="14" s="1"/>
  <c r="H1724" i="14"/>
  <c r="G2204" i="14"/>
  <c r="H2204" i="14" s="1"/>
  <c r="H2205" i="14"/>
  <c r="H2550" i="14"/>
  <c r="G2549" i="14"/>
  <c r="H2549" i="14" s="1"/>
  <c r="G1996" i="14"/>
  <c r="H1996" i="14" s="1"/>
  <c r="H1997" i="14"/>
  <c r="E2530" i="14"/>
  <c r="H917" i="14"/>
  <c r="G916" i="14"/>
  <c r="H916" i="14" s="1"/>
  <c r="G2818" i="14"/>
  <c r="G1263" i="14"/>
  <c r="H1263" i="14" s="1"/>
  <c r="H1264" i="14"/>
  <c r="H318" i="14"/>
  <c r="G317" i="14"/>
  <c r="H317" i="14" s="1"/>
  <c r="G1611" i="14"/>
  <c r="H1611" i="14" s="1"/>
  <c r="H1612" i="14"/>
  <c r="G1756" i="14"/>
  <c r="H1756" i="14" s="1"/>
  <c r="H1757" i="14"/>
  <c r="H1331" i="14"/>
  <c r="H793" i="14"/>
  <c r="H1293" i="14"/>
  <c r="H162" i="14"/>
  <c r="G161" i="14"/>
  <c r="G667" i="14"/>
  <c r="H667" i="14" s="1"/>
  <c r="H668" i="14"/>
  <c r="G398" i="14"/>
  <c r="H398" i="14" s="1"/>
  <c r="H731" i="14"/>
  <c r="G730" i="14"/>
  <c r="H730" i="14" s="1"/>
  <c r="H462" i="14"/>
  <c r="G461" i="14"/>
  <c r="H583" i="14"/>
  <c r="G582" i="14"/>
  <c r="G954" i="14"/>
  <c r="H218" i="14"/>
  <c r="G217" i="14"/>
  <c r="H217" i="14" s="1"/>
  <c r="F1225" i="14"/>
  <c r="F1205" i="14" s="1"/>
  <c r="H942" i="14"/>
  <c r="G941" i="14"/>
  <c r="H941" i="14" s="1"/>
  <c r="H1327" i="14"/>
  <c r="H811" i="14"/>
  <c r="H1775" i="14"/>
  <c r="G1774" i="14"/>
  <c r="H1774" i="14" s="1"/>
  <c r="H2008" i="14"/>
  <c r="H2241" i="14"/>
  <c r="G2240" i="14"/>
  <c r="H2477" i="14"/>
  <c r="G2476" i="14"/>
  <c r="H2531" i="14"/>
  <c r="H2793" i="14"/>
  <c r="G1878" i="14"/>
  <c r="G1877" i="14" s="1"/>
  <c r="H1879" i="14"/>
  <c r="H2637" i="14"/>
  <c r="H2460" i="14"/>
  <c r="H2509" i="14"/>
  <c r="G2508" i="14"/>
  <c r="H2508" i="14" s="1"/>
  <c r="G1376" i="14"/>
  <c r="H1376" i="14" s="1"/>
  <c r="H1377" i="14"/>
  <c r="G2262" i="14"/>
  <c r="H2262" i="14" s="1"/>
  <c r="H2263" i="14"/>
  <c r="G1061" i="14"/>
  <c r="H2288" i="14"/>
  <c r="G2287" i="14"/>
  <c r="G1779" i="14"/>
  <c r="H1779" i="14" s="1"/>
  <c r="H1780" i="14"/>
  <c r="G2114" i="14"/>
  <c r="H2115" i="14"/>
  <c r="H1692" i="14"/>
  <c r="G1691" i="14"/>
  <c r="H2461" i="14"/>
  <c r="E2809" i="14"/>
  <c r="E2808" i="14" s="1"/>
  <c r="F20" i="13"/>
  <c r="F23" i="13" s="1"/>
  <c r="G20" i="13"/>
  <c r="G18" i="13"/>
  <c r="C5" i="12"/>
  <c r="D5" i="12"/>
  <c r="C8" i="12"/>
  <c r="D8" i="12"/>
  <c r="C14" i="12"/>
  <c r="D14" i="12"/>
  <c r="C16" i="12"/>
  <c r="D16" i="12"/>
  <c r="C19" i="12"/>
  <c r="C18" i="12" s="1"/>
  <c r="D19" i="12"/>
  <c r="C21" i="12"/>
  <c r="D21" i="12"/>
  <c r="D18" i="12" s="1"/>
  <c r="Q530" i="12"/>
  <c r="F7" i="11"/>
  <c r="G7" i="11"/>
  <c r="E7" i="11" s="1"/>
  <c r="E8" i="11"/>
  <c r="E9" i="11"/>
  <c r="F18" i="11"/>
  <c r="G18" i="11"/>
  <c r="G20" i="11" s="1"/>
  <c r="E19" i="11"/>
  <c r="Q545" i="11"/>
  <c r="F7" i="10"/>
  <c r="G7" i="10"/>
  <c r="E8" i="10"/>
  <c r="E9" i="10"/>
  <c r="F10" i="10"/>
  <c r="F12" i="10" s="1"/>
  <c r="G10" i="10"/>
  <c r="E11" i="10"/>
  <c r="E10" i="10" s="1"/>
  <c r="Q534" i="10"/>
  <c r="E6" i="9"/>
  <c r="E7" i="9" s="1"/>
  <c r="F7" i="9"/>
  <c r="G7" i="9"/>
  <c r="Q534" i="9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F25" i="8"/>
  <c r="G25" i="8"/>
  <c r="Q535" i="8"/>
  <c r="E7" i="7"/>
  <c r="E11" i="7"/>
  <c r="E14" i="7"/>
  <c r="E15" i="7"/>
  <c r="E16" i="7"/>
  <c r="G20" i="7"/>
  <c r="G24" i="7"/>
  <c r="E26" i="7"/>
  <c r="E29" i="7"/>
  <c r="H33" i="7"/>
  <c r="E34" i="7"/>
  <c r="E36" i="7"/>
  <c r="E37" i="7"/>
  <c r="E38" i="7"/>
  <c r="G40" i="7"/>
  <c r="E40" i="7" s="1"/>
  <c r="H43" i="7"/>
  <c r="E42" i="7" s="1"/>
  <c r="E46" i="7"/>
  <c r="E47" i="7"/>
  <c r="E49" i="7"/>
  <c r="E51" i="7"/>
  <c r="G63" i="7"/>
  <c r="Q546" i="7"/>
  <c r="F16" i="6"/>
  <c r="F27" i="6"/>
  <c r="F44" i="6"/>
  <c r="Q525" i="6"/>
  <c r="C4" i="12" l="1"/>
  <c r="C23" i="12" s="1"/>
  <c r="G23" i="13"/>
  <c r="F2530" i="14"/>
  <c r="E18" i="11"/>
  <c r="E20" i="11" s="1"/>
  <c r="H63" i="7"/>
  <c r="E32" i="7"/>
  <c r="E25" i="8"/>
  <c r="E7" i="10"/>
  <c r="E12" i="10" s="1"/>
  <c r="G12" i="10"/>
  <c r="F20" i="11"/>
  <c r="D4" i="12"/>
  <c r="D23" i="12" s="1"/>
  <c r="H1439" i="14"/>
  <c r="G1438" i="14"/>
  <c r="H1438" i="14" s="1"/>
  <c r="H1275" i="14"/>
  <c r="G1274" i="14"/>
  <c r="E17" i="7"/>
  <c r="E2805" i="14"/>
  <c r="E2822" i="14" s="1"/>
  <c r="E2823" i="14" s="1"/>
  <c r="H2498" i="14"/>
  <c r="G2497" i="14"/>
  <c r="H2497" i="14" s="1"/>
  <c r="G2817" i="14"/>
  <c r="H2817" i="14" s="1"/>
  <c r="H2818" i="14"/>
  <c r="H1041" i="14"/>
  <c r="G1040" i="14"/>
  <c r="H1040" i="14" s="1"/>
  <c r="H2437" i="14"/>
  <c r="G2436" i="14"/>
  <c r="H2436" i="14" s="1"/>
  <c r="G2773" i="14"/>
  <c r="H2774" i="14"/>
  <c r="G1690" i="14"/>
  <c r="H1690" i="14" s="1"/>
  <c r="H1691" i="14"/>
  <c r="G2286" i="14"/>
  <c r="H2286" i="14" s="1"/>
  <c r="H2287" i="14"/>
  <c r="H1225" i="14"/>
  <c r="H161" i="14"/>
  <c r="G160" i="14"/>
  <c r="H160" i="14" s="1"/>
  <c r="G184" i="14"/>
  <c r="H184" i="14" s="1"/>
  <c r="H185" i="14"/>
  <c r="G2486" i="14"/>
  <c r="H2486" i="14" s="1"/>
  <c r="H2487" i="14"/>
  <c r="H496" i="14"/>
  <c r="G495" i="14"/>
  <c r="H495" i="14" s="1"/>
  <c r="H1818" i="14"/>
  <c r="G2475" i="14"/>
  <c r="H2475" i="14" s="1"/>
  <c r="H2476" i="14"/>
  <c r="H461" i="14"/>
  <c r="G460" i="14"/>
  <c r="G2239" i="14"/>
  <c r="H2240" i="14"/>
  <c r="H1025" i="14"/>
  <c r="F792" i="14"/>
  <c r="F2805" i="14" s="1"/>
  <c r="F2822" i="14" s="1"/>
  <c r="F2823" i="14" s="1"/>
  <c r="H673" i="14"/>
  <c r="G672" i="14"/>
  <c r="H672" i="14" s="1"/>
  <c r="H1061" i="14"/>
  <c r="G1060" i="14"/>
  <c r="G953" i="14"/>
  <c r="H954" i="14"/>
  <c r="H436" i="14"/>
  <c r="G435" i="14"/>
  <c r="H435" i="14" s="1"/>
  <c r="H2447" i="14"/>
  <c r="G2446" i="14"/>
  <c r="H2446" i="14" s="1"/>
  <c r="H2382" i="14"/>
  <c r="G2381" i="14"/>
  <c r="H2381" i="14" s="1"/>
  <c r="G1356" i="14"/>
  <c r="H1357" i="14"/>
  <c r="H2810" i="14"/>
  <c r="G2809" i="14"/>
  <c r="H2325" i="14"/>
  <c r="G2324" i="14"/>
  <c r="H250" i="14"/>
  <c r="G249" i="14"/>
  <c r="H249" i="14" s="1"/>
  <c r="H10" i="14"/>
  <c r="H2429" i="14"/>
  <c r="G542" i="14"/>
  <c r="H543" i="14"/>
  <c r="H2114" i="14"/>
  <c r="G2113" i="14"/>
  <c r="H2113" i="14" s="1"/>
  <c r="H582" i="14"/>
  <c r="G581" i="14"/>
  <c r="H1834" i="14"/>
  <c r="G1833" i="14"/>
  <c r="H1833" i="14" s="1"/>
  <c r="G716" i="14"/>
  <c r="H716" i="14" s="1"/>
  <c r="H721" i="14"/>
  <c r="G2706" i="14"/>
  <c r="H2706" i="14" s="1"/>
  <c r="H2711" i="14"/>
  <c r="H2102" i="14"/>
  <c r="G2101" i="14"/>
  <c r="H2101" i="14" s="1"/>
  <c r="H1198" i="14"/>
  <c r="G1197" i="14"/>
  <c r="H1197" i="14" s="1"/>
  <c r="G2654" i="14"/>
  <c r="H2655" i="14"/>
  <c r="H1206" i="14"/>
  <c r="G1205" i="14"/>
  <c r="H1205" i="14" s="1"/>
  <c r="G830" i="14"/>
  <c r="H831" i="14"/>
  <c r="D7" i="5"/>
  <c r="D8" i="5" s="1"/>
  <c r="E8" i="5"/>
  <c r="F8" i="5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E22" i="4"/>
  <c r="F22" i="4"/>
  <c r="D27" i="4"/>
  <c r="D28" i="4"/>
  <c r="D29" i="4"/>
  <c r="D30" i="4"/>
  <c r="D31" i="4"/>
  <c r="E32" i="4"/>
  <c r="F32" i="4"/>
  <c r="D7" i="3"/>
  <c r="D8" i="3"/>
  <c r="D9" i="3"/>
  <c r="D10" i="3"/>
  <c r="D11" i="3"/>
  <c r="D12" i="3"/>
  <c r="E13" i="3"/>
  <c r="F13" i="3"/>
  <c r="D18" i="3"/>
  <c r="D19" i="3"/>
  <c r="D20" i="3"/>
  <c r="D21" i="3"/>
  <c r="D22" i="3"/>
  <c r="D23" i="3"/>
  <c r="D24" i="3"/>
  <c r="E25" i="3"/>
  <c r="F25" i="3"/>
  <c r="G11" i="2"/>
  <c r="G10" i="2" s="1"/>
  <c r="H11" i="2"/>
  <c r="I11" i="2"/>
  <c r="I10" i="2" s="1"/>
  <c r="J11" i="2"/>
  <c r="F12" i="2"/>
  <c r="F13" i="2"/>
  <c r="F14" i="2"/>
  <c r="G15" i="2"/>
  <c r="H15" i="2"/>
  <c r="I15" i="2"/>
  <c r="J15" i="2"/>
  <c r="F16" i="2"/>
  <c r="F17" i="2"/>
  <c r="F18" i="2"/>
  <c r="F19" i="2"/>
  <c r="F20" i="2"/>
  <c r="F21" i="2"/>
  <c r="F22" i="2"/>
  <c r="F23" i="2"/>
  <c r="F24" i="2"/>
  <c r="F25" i="2"/>
  <c r="G27" i="2"/>
  <c r="H27" i="2"/>
  <c r="I27" i="2"/>
  <c r="J27" i="2"/>
  <c r="J26" i="2" s="1"/>
  <c r="F28" i="2"/>
  <c r="F29" i="2"/>
  <c r="F30" i="2"/>
  <c r="G31" i="2"/>
  <c r="H31" i="2"/>
  <c r="I31" i="2"/>
  <c r="J31" i="2"/>
  <c r="F32" i="2"/>
  <c r="F33" i="2"/>
  <c r="F34" i="2"/>
  <c r="G37" i="2"/>
  <c r="H37" i="2"/>
  <c r="I37" i="2"/>
  <c r="J37" i="2"/>
  <c r="F38" i="2"/>
  <c r="F39" i="2"/>
  <c r="G40" i="2"/>
  <c r="H40" i="2"/>
  <c r="I40" i="2"/>
  <c r="J40" i="2"/>
  <c r="F41" i="2"/>
  <c r="F42" i="2"/>
  <c r="F43" i="2"/>
  <c r="F44" i="2"/>
  <c r="F45" i="2"/>
  <c r="F46" i="2"/>
  <c r="F47" i="2"/>
  <c r="F48" i="2"/>
  <c r="G49" i="2"/>
  <c r="H49" i="2"/>
  <c r="I49" i="2"/>
  <c r="J49" i="2"/>
  <c r="F50" i="2"/>
  <c r="F49" i="2" s="1"/>
  <c r="F51" i="2"/>
  <c r="G54" i="2"/>
  <c r="H54" i="2"/>
  <c r="I54" i="2"/>
  <c r="J54" i="2"/>
  <c r="F55" i="2"/>
  <c r="F56" i="2"/>
  <c r="F57" i="2"/>
  <c r="G58" i="2"/>
  <c r="H58" i="2"/>
  <c r="I58" i="2"/>
  <c r="J58" i="2"/>
  <c r="F59" i="2"/>
  <c r="F60" i="2"/>
  <c r="F61" i="2"/>
  <c r="F62" i="2"/>
  <c r="G63" i="2"/>
  <c r="H63" i="2"/>
  <c r="I63" i="2"/>
  <c r="J63" i="2"/>
  <c r="F64" i="2"/>
  <c r="F65" i="2"/>
  <c r="G68" i="2"/>
  <c r="G67" i="2" s="1"/>
  <c r="H68" i="2"/>
  <c r="I68" i="2"/>
  <c r="J68" i="2"/>
  <c r="F69" i="2"/>
  <c r="F70" i="2"/>
  <c r="F71" i="2"/>
  <c r="F72" i="2"/>
  <c r="F73" i="2"/>
  <c r="F74" i="2"/>
  <c r="F75" i="2"/>
  <c r="F76" i="2"/>
  <c r="F77" i="2"/>
  <c r="F78" i="2"/>
  <c r="G79" i="2"/>
  <c r="H79" i="2"/>
  <c r="I79" i="2"/>
  <c r="I67" i="2" s="1"/>
  <c r="J79" i="2"/>
  <c r="F80" i="2"/>
  <c r="F81" i="2"/>
  <c r="G82" i="2"/>
  <c r="H82" i="2"/>
  <c r="I82" i="2"/>
  <c r="J82" i="2"/>
  <c r="F83" i="2"/>
  <c r="F82" i="2" s="1"/>
  <c r="G86" i="2"/>
  <c r="H86" i="2"/>
  <c r="I86" i="2"/>
  <c r="J86" i="2"/>
  <c r="J85" i="2" s="1"/>
  <c r="J84" i="2" s="1"/>
  <c r="F87" i="2"/>
  <c r="F88" i="2"/>
  <c r="F89" i="2"/>
  <c r="F90" i="2"/>
  <c r="F91" i="2"/>
  <c r="F92" i="2"/>
  <c r="G93" i="2"/>
  <c r="G85" i="2" s="1"/>
  <c r="H93" i="2"/>
  <c r="I93" i="2"/>
  <c r="J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G120" i="2"/>
  <c r="H120" i="2"/>
  <c r="I120" i="2"/>
  <c r="J120" i="2"/>
  <c r="F121" i="2"/>
  <c r="F122" i="2"/>
  <c r="F120" i="2" s="1"/>
  <c r="G125" i="2"/>
  <c r="H125" i="2"/>
  <c r="I125" i="2"/>
  <c r="J125" i="2"/>
  <c r="F126" i="2"/>
  <c r="F127" i="2"/>
  <c r="G128" i="2"/>
  <c r="H128" i="2"/>
  <c r="H124" i="2" s="1"/>
  <c r="I128" i="2"/>
  <c r="J128" i="2"/>
  <c r="F129" i="2"/>
  <c r="F130" i="2"/>
  <c r="F131" i="2"/>
  <c r="F132" i="2"/>
  <c r="G133" i="2"/>
  <c r="H133" i="2"/>
  <c r="I133" i="2"/>
  <c r="J133" i="2"/>
  <c r="F134" i="2"/>
  <c r="F135" i="2"/>
  <c r="G138" i="2"/>
  <c r="H138" i="2"/>
  <c r="I138" i="2"/>
  <c r="I137" i="2" s="1"/>
  <c r="I136" i="2" s="1"/>
  <c r="J138" i="2"/>
  <c r="F139" i="2"/>
  <c r="F140" i="2"/>
  <c r="F141" i="2"/>
  <c r="G142" i="2"/>
  <c r="G137" i="2" s="1"/>
  <c r="H142" i="2"/>
  <c r="I142" i="2"/>
  <c r="J142" i="2"/>
  <c r="F143" i="2"/>
  <c r="F144" i="2"/>
  <c r="F145" i="2"/>
  <c r="F146" i="2"/>
  <c r="G147" i="2"/>
  <c r="H147" i="2"/>
  <c r="I147" i="2"/>
  <c r="J147" i="2"/>
  <c r="F148" i="2"/>
  <c r="F149" i="2"/>
  <c r="G152" i="2"/>
  <c r="H152" i="2"/>
  <c r="I152" i="2"/>
  <c r="J152" i="2"/>
  <c r="F153" i="2"/>
  <c r="F154" i="2"/>
  <c r="F155" i="2"/>
  <c r="F156" i="2"/>
  <c r="F157" i="2"/>
  <c r="F158" i="2"/>
  <c r="F159" i="2"/>
  <c r="F160" i="2"/>
  <c r="G161" i="2"/>
  <c r="G151" i="2" s="1"/>
  <c r="H161" i="2"/>
  <c r="I161" i="2"/>
  <c r="I151" i="2" s="1"/>
  <c r="J161" i="2"/>
  <c r="F162" i="2"/>
  <c r="F163" i="2"/>
  <c r="G164" i="2"/>
  <c r="H164" i="2"/>
  <c r="I164" i="2"/>
  <c r="J164" i="2"/>
  <c r="F165" i="2"/>
  <c r="F166" i="2"/>
  <c r="F164" i="2" s="1"/>
  <c r="G169" i="2"/>
  <c r="H169" i="2"/>
  <c r="I169" i="2"/>
  <c r="J169" i="2"/>
  <c r="F170" i="2"/>
  <c r="F169" i="2" s="1"/>
  <c r="G171" i="2"/>
  <c r="H171" i="2"/>
  <c r="I171" i="2"/>
  <c r="I168" i="2" s="1"/>
  <c r="I167" i="2" s="1"/>
  <c r="J171" i="2"/>
  <c r="F172" i="2"/>
  <c r="F171" i="2" s="1"/>
  <c r="G173" i="2"/>
  <c r="H173" i="2"/>
  <c r="I173" i="2"/>
  <c r="J173" i="2"/>
  <c r="F174" i="2"/>
  <c r="F175" i="2"/>
  <c r="F176" i="2"/>
  <c r="F177" i="2"/>
  <c r="F178" i="2"/>
  <c r="G179" i="2"/>
  <c r="H179" i="2"/>
  <c r="I179" i="2"/>
  <c r="J179" i="2"/>
  <c r="F180" i="2"/>
  <c r="F181" i="2"/>
  <c r="F182" i="2"/>
  <c r="G183" i="2"/>
  <c r="H183" i="2"/>
  <c r="I183" i="2"/>
  <c r="J183" i="2"/>
  <c r="F184" i="2"/>
  <c r="F185" i="2"/>
  <c r="G188" i="2"/>
  <c r="H188" i="2"/>
  <c r="I188" i="2"/>
  <c r="J188" i="2"/>
  <c r="F189" i="2"/>
  <c r="F190" i="2"/>
  <c r="F188" i="2" s="1"/>
  <c r="F191" i="2"/>
  <c r="G192" i="2"/>
  <c r="H192" i="2"/>
  <c r="I192" i="2"/>
  <c r="I187" i="2" s="1"/>
  <c r="I186" i="2" s="1"/>
  <c r="J192" i="2"/>
  <c r="F193" i="2"/>
  <c r="F194" i="2"/>
  <c r="F195" i="2"/>
  <c r="G196" i="2"/>
  <c r="H196" i="2"/>
  <c r="I196" i="2"/>
  <c r="J196" i="2"/>
  <c r="F197" i="2"/>
  <c r="F198" i="2"/>
  <c r="F199" i="2"/>
  <c r="G202" i="2"/>
  <c r="H202" i="2"/>
  <c r="I202" i="2"/>
  <c r="J202" i="2"/>
  <c r="F203" i="2"/>
  <c r="F202" i="2" s="1"/>
  <c r="G204" i="2"/>
  <c r="G201" i="2" s="1"/>
  <c r="G200" i="2" s="1"/>
  <c r="H204" i="2"/>
  <c r="I204" i="2"/>
  <c r="J204" i="2"/>
  <c r="F205" i="2"/>
  <c r="F206" i="2"/>
  <c r="F207" i="2"/>
  <c r="G208" i="2"/>
  <c r="H208" i="2"/>
  <c r="I208" i="2"/>
  <c r="J208" i="2"/>
  <c r="F209" i="2"/>
  <c r="F210" i="2"/>
  <c r="F208" i="2" s="1"/>
  <c r="F211" i="2"/>
  <c r="F212" i="2"/>
  <c r="F213" i="2"/>
  <c r="G216" i="2"/>
  <c r="H216" i="2"/>
  <c r="I216" i="2"/>
  <c r="I215" i="2" s="1"/>
  <c r="J216" i="2"/>
  <c r="F217" i="2"/>
  <c r="F218" i="2"/>
  <c r="F219" i="2"/>
  <c r="G220" i="2"/>
  <c r="G215" i="2" s="1"/>
  <c r="H220" i="2"/>
  <c r="I220" i="2"/>
  <c r="J220" i="2"/>
  <c r="F221" i="2"/>
  <c r="F222" i="2"/>
  <c r="F223" i="2"/>
  <c r="F224" i="2"/>
  <c r="F225" i="2"/>
  <c r="F226" i="2"/>
  <c r="F227" i="2"/>
  <c r="F228" i="2"/>
  <c r="F229" i="2"/>
  <c r="G230" i="2"/>
  <c r="H230" i="2"/>
  <c r="I230" i="2"/>
  <c r="J230" i="2"/>
  <c r="F231" i="2"/>
  <c r="F230" i="2" s="1"/>
  <c r="G234" i="2"/>
  <c r="H234" i="2"/>
  <c r="I234" i="2"/>
  <c r="I233" i="2" s="1"/>
  <c r="J234" i="2"/>
  <c r="F235" i="2"/>
  <c r="F236" i="2"/>
  <c r="F237" i="2"/>
  <c r="G238" i="2"/>
  <c r="H238" i="2"/>
  <c r="I238" i="2"/>
  <c r="J238" i="2"/>
  <c r="F239" i="2"/>
  <c r="F240" i="2"/>
  <c r="F241" i="2"/>
  <c r="G242" i="2"/>
  <c r="H242" i="2"/>
  <c r="I242" i="2"/>
  <c r="J242" i="2"/>
  <c r="F243" i="2"/>
  <c r="F244" i="2"/>
  <c r="F245" i="2"/>
  <c r="G248" i="2"/>
  <c r="H248" i="2"/>
  <c r="I248" i="2"/>
  <c r="J248" i="2"/>
  <c r="F249" i="2"/>
  <c r="F250" i="2"/>
  <c r="F248" i="2" s="1"/>
  <c r="F251" i="2"/>
  <c r="F252" i="2"/>
  <c r="F253" i="2"/>
  <c r="G254" i="2"/>
  <c r="H254" i="2"/>
  <c r="I254" i="2"/>
  <c r="I247" i="2" s="1"/>
  <c r="I246" i="2" s="1"/>
  <c r="J254" i="2"/>
  <c r="F255" i="2"/>
  <c r="F256" i="2"/>
  <c r="F257" i="2"/>
  <c r="F258" i="2"/>
  <c r="F259" i="2"/>
  <c r="F260" i="2"/>
  <c r="F261" i="2"/>
  <c r="G262" i="2"/>
  <c r="H262" i="2"/>
  <c r="I262" i="2"/>
  <c r="J262" i="2"/>
  <c r="F263" i="2"/>
  <c r="F264" i="2"/>
  <c r="G267" i="2"/>
  <c r="H267" i="2"/>
  <c r="I267" i="2"/>
  <c r="J267" i="2"/>
  <c r="F268" i="2"/>
  <c r="F269" i="2"/>
  <c r="G270" i="2"/>
  <c r="H270" i="2"/>
  <c r="H266" i="2" s="1"/>
  <c r="H265" i="2" s="1"/>
  <c r="I270" i="2"/>
  <c r="J270" i="2"/>
  <c r="F271" i="2"/>
  <c r="F272" i="2"/>
  <c r="F273" i="2"/>
  <c r="G274" i="2"/>
  <c r="H274" i="2"/>
  <c r="I274" i="2"/>
  <c r="J274" i="2"/>
  <c r="F275" i="2"/>
  <c r="F276" i="2"/>
  <c r="F274" i="2" s="1"/>
  <c r="I278" i="2"/>
  <c r="I277" i="2" s="1"/>
  <c r="G279" i="2"/>
  <c r="H279" i="2"/>
  <c r="I279" i="2"/>
  <c r="J279" i="2"/>
  <c r="F280" i="2"/>
  <c r="F281" i="2"/>
  <c r="F282" i="2"/>
  <c r="F283" i="2"/>
  <c r="F284" i="2"/>
  <c r="F285" i="2"/>
  <c r="F286" i="2"/>
  <c r="F287" i="2"/>
  <c r="G288" i="2"/>
  <c r="H288" i="2"/>
  <c r="I288" i="2"/>
  <c r="J288" i="2"/>
  <c r="F289" i="2"/>
  <c r="F290" i="2"/>
  <c r="F291" i="2"/>
  <c r="F292" i="2"/>
  <c r="F293" i="2"/>
  <c r="F294" i="2"/>
  <c r="F295" i="2"/>
  <c r="F296" i="2"/>
  <c r="F297" i="2"/>
  <c r="F298" i="2"/>
  <c r="G299" i="2"/>
  <c r="H299" i="2"/>
  <c r="I299" i="2"/>
  <c r="J299" i="2"/>
  <c r="F300" i="2"/>
  <c r="F301" i="2"/>
  <c r="G304" i="2"/>
  <c r="H304" i="2"/>
  <c r="I304" i="2"/>
  <c r="J304" i="2"/>
  <c r="F305" i="2"/>
  <c r="F306" i="2"/>
  <c r="F307" i="2"/>
  <c r="F308" i="2"/>
  <c r="F309" i="2"/>
  <c r="F310" i="2"/>
  <c r="F311" i="2"/>
  <c r="F312" i="2"/>
  <c r="G313" i="2"/>
  <c r="H313" i="2"/>
  <c r="I313" i="2"/>
  <c r="I303" i="2" s="1"/>
  <c r="J313" i="2"/>
  <c r="F314" i="2"/>
  <c r="F315" i="2"/>
  <c r="F316" i="2"/>
  <c r="F317" i="2"/>
  <c r="F318" i="2"/>
  <c r="F319" i="2"/>
  <c r="F320" i="2"/>
  <c r="F321" i="2"/>
  <c r="F322" i="2"/>
  <c r="F323" i="2"/>
  <c r="G324" i="2"/>
  <c r="H324" i="2"/>
  <c r="I324" i="2"/>
  <c r="J324" i="2"/>
  <c r="F325" i="2"/>
  <c r="F326" i="2"/>
  <c r="G329" i="2"/>
  <c r="H329" i="2"/>
  <c r="I329" i="2"/>
  <c r="J329" i="2"/>
  <c r="J328" i="2" s="1"/>
  <c r="F330" i="2"/>
  <c r="F331" i="2"/>
  <c r="H332" i="2"/>
  <c r="I332" i="2"/>
  <c r="J332" i="2"/>
  <c r="F333" i="2"/>
  <c r="G334" i="2"/>
  <c r="G332" i="2" s="1"/>
  <c r="G335" i="2"/>
  <c r="H335" i="2"/>
  <c r="I335" i="2"/>
  <c r="J335" i="2"/>
  <c r="F336" i="2"/>
  <c r="F337" i="2"/>
  <c r="G340" i="2"/>
  <c r="G339" i="2" s="1"/>
  <c r="G338" i="2" s="1"/>
  <c r="H340" i="2"/>
  <c r="I340" i="2"/>
  <c r="J340" i="2"/>
  <c r="F341" i="2"/>
  <c r="F342" i="2"/>
  <c r="F343" i="2"/>
  <c r="F344" i="2"/>
  <c r="G345" i="2"/>
  <c r="H345" i="2"/>
  <c r="I345" i="2"/>
  <c r="J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G358" i="2"/>
  <c r="H358" i="2"/>
  <c r="I358" i="2"/>
  <c r="J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G378" i="2"/>
  <c r="H378" i="2"/>
  <c r="I378" i="2"/>
  <c r="J378" i="2"/>
  <c r="F379" i="2"/>
  <c r="F380" i="2"/>
  <c r="G383" i="2"/>
  <c r="H383" i="2"/>
  <c r="I383" i="2"/>
  <c r="I382" i="2" s="1"/>
  <c r="I381" i="2" s="1"/>
  <c r="J383" i="2"/>
  <c r="F384" i="2"/>
  <c r="F385" i="2"/>
  <c r="F386" i="2"/>
  <c r="F387" i="2"/>
  <c r="F388" i="2"/>
  <c r="F389" i="2"/>
  <c r="F390" i="2"/>
  <c r="F391" i="2"/>
  <c r="F392" i="2"/>
  <c r="F393" i="2"/>
  <c r="G394" i="2"/>
  <c r="H394" i="2"/>
  <c r="I394" i="2"/>
  <c r="J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G412" i="2"/>
  <c r="H412" i="2"/>
  <c r="I412" i="2"/>
  <c r="J412" i="2"/>
  <c r="F413" i="2"/>
  <c r="F414" i="2"/>
  <c r="G417" i="2"/>
  <c r="H417" i="2"/>
  <c r="H416" i="2" s="1"/>
  <c r="H415" i="2" s="1"/>
  <c r="I417" i="2"/>
  <c r="J417" i="2"/>
  <c r="J416" i="2" s="1"/>
  <c r="F418" i="2"/>
  <c r="F419" i="2"/>
  <c r="F420" i="2"/>
  <c r="G421" i="2"/>
  <c r="H421" i="2"/>
  <c r="I421" i="2"/>
  <c r="I416" i="2" s="1"/>
  <c r="J421" i="2"/>
  <c r="F422" i="2"/>
  <c r="F423" i="2"/>
  <c r="F424" i="2"/>
  <c r="G425" i="2"/>
  <c r="H425" i="2"/>
  <c r="I425" i="2"/>
  <c r="J425" i="2"/>
  <c r="F426" i="2"/>
  <c r="F427" i="2"/>
  <c r="F428" i="2"/>
  <c r="F429" i="2"/>
  <c r="F430" i="2"/>
  <c r="F431" i="2"/>
  <c r="G434" i="2"/>
  <c r="H434" i="2"/>
  <c r="I434" i="2"/>
  <c r="I433" i="2" s="1"/>
  <c r="I432" i="2" s="1"/>
  <c r="J434" i="2"/>
  <c r="F435" i="2"/>
  <c r="F436" i="2"/>
  <c r="F437" i="2"/>
  <c r="G438" i="2"/>
  <c r="H438" i="2"/>
  <c r="H433" i="2" s="1"/>
  <c r="I438" i="2"/>
  <c r="J438" i="2"/>
  <c r="F439" i="2"/>
  <c r="F440" i="2"/>
  <c r="F441" i="2"/>
  <c r="G442" i="2"/>
  <c r="H442" i="2"/>
  <c r="I442" i="2"/>
  <c r="J442" i="2"/>
  <c r="F443" i="2"/>
  <c r="F444" i="2"/>
  <c r="F445" i="2"/>
  <c r="G448" i="2"/>
  <c r="H448" i="2"/>
  <c r="I448" i="2"/>
  <c r="J448" i="2"/>
  <c r="F449" i="2"/>
  <c r="F450" i="2"/>
  <c r="F451" i="2"/>
  <c r="F452" i="2"/>
  <c r="F453" i="2"/>
  <c r="F454" i="2"/>
  <c r="F455" i="2"/>
  <c r="F456" i="2"/>
  <c r="G457" i="2"/>
  <c r="G447" i="2" s="1"/>
  <c r="H457" i="2"/>
  <c r="I457" i="2"/>
  <c r="J457" i="2"/>
  <c r="J447" i="2" s="1"/>
  <c r="F458" i="2"/>
  <c r="F459" i="2"/>
  <c r="F460" i="2"/>
  <c r="F461" i="2"/>
  <c r="F462" i="2"/>
  <c r="F463" i="2"/>
  <c r="F464" i="2"/>
  <c r="F465" i="2"/>
  <c r="F466" i="2"/>
  <c r="F467" i="2"/>
  <c r="F468" i="2"/>
  <c r="G469" i="2"/>
  <c r="H469" i="2"/>
  <c r="I469" i="2"/>
  <c r="J469" i="2"/>
  <c r="F470" i="2"/>
  <c r="F469" i="2" s="1"/>
  <c r="G473" i="2"/>
  <c r="H473" i="2"/>
  <c r="I473" i="2"/>
  <c r="J473" i="2"/>
  <c r="J472" i="2" s="1"/>
  <c r="J471" i="2" s="1"/>
  <c r="F474" i="2"/>
  <c r="F475" i="2"/>
  <c r="F476" i="2"/>
  <c r="F477" i="2"/>
  <c r="F478" i="2"/>
  <c r="G479" i="2"/>
  <c r="H479" i="2"/>
  <c r="I479" i="2"/>
  <c r="J479" i="2"/>
  <c r="F480" i="2"/>
  <c r="F481" i="2"/>
  <c r="F482" i="2"/>
  <c r="F483" i="2"/>
  <c r="F484" i="2"/>
  <c r="F485" i="2"/>
  <c r="F486" i="2"/>
  <c r="F487" i="2"/>
  <c r="F488" i="2"/>
  <c r="F489" i="2"/>
  <c r="G490" i="2"/>
  <c r="H490" i="2"/>
  <c r="I490" i="2"/>
  <c r="J490" i="2"/>
  <c r="F491" i="2"/>
  <c r="F490" i="2" s="1"/>
  <c r="F492" i="2"/>
  <c r="H495" i="2"/>
  <c r="I495" i="2"/>
  <c r="J495" i="2"/>
  <c r="G496" i="2"/>
  <c r="G495" i="2" s="1"/>
  <c r="G497" i="2"/>
  <c r="H497" i="2"/>
  <c r="I497" i="2"/>
  <c r="J497" i="2"/>
  <c r="F498" i="2"/>
  <c r="F499" i="2"/>
  <c r="F500" i="2"/>
  <c r="F501" i="2"/>
  <c r="F502" i="2"/>
  <c r="F503" i="2"/>
  <c r="G504" i="2"/>
  <c r="H504" i="2"/>
  <c r="I504" i="2"/>
  <c r="J504" i="2"/>
  <c r="F505" i="2"/>
  <c r="F506" i="2"/>
  <c r="F507" i="2"/>
  <c r="F508" i="2"/>
  <c r="F509" i="2"/>
  <c r="F510" i="2"/>
  <c r="G511" i="2"/>
  <c r="H511" i="2"/>
  <c r="I511" i="2"/>
  <c r="J511" i="2"/>
  <c r="F512" i="2"/>
  <c r="F513" i="2"/>
  <c r="G516" i="2"/>
  <c r="H516" i="2"/>
  <c r="I516" i="2"/>
  <c r="J516" i="2"/>
  <c r="F517" i="2"/>
  <c r="F518" i="2"/>
  <c r="F519" i="2"/>
  <c r="F520" i="2"/>
  <c r="G521" i="2"/>
  <c r="H521" i="2"/>
  <c r="I521" i="2"/>
  <c r="J521" i="2"/>
  <c r="F522" i="2"/>
  <c r="F523" i="2"/>
  <c r="F524" i="2"/>
  <c r="F525" i="2"/>
  <c r="F526" i="2"/>
  <c r="F527" i="2"/>
  <c r="F528" i="2"/>
  <c r="F529" i="2"/>
  <c r="G530" i="2"/>
  <c r="H530" i="2"/>
  <c r="I530" i="2"/>
  <c r="J530" i="2"/>
  <c r="F531" i="2"/>
  <c r="F532" i="2"/>
  <c r="F533" i="2"/>
  <c r="F534" i="2"/>
  <c r="F535" i="2"/>
  <c r="F536" i="2"/>
  <c r="G537" i="2"/>
  <c r="H537" i="2"/>
  <c r="I537" i="2"/>
  <c r="J537" i="2"/>
  <c r="F538" i="2"/>
  <c r="F537" i="2" s="1"/>
  <c r="F539" i="2"/>
  <c r="G542" i="2"/>
  <c r="H542" i="2"/>
  <c r="I542" i="2"/>
  <c r="J542" i="2"/>
  <c r="F543" i="2"/>
  <c r="F544" i="2"/>
  <c r="F545" i="2"/>
  <c r="F546" i="2"/>
  <c r="G547" i="2"/>
  <c r="H547" i="2"/>
  <c r="I547" i="2"/>
  <c r="J547" i="2"/>
  <c r="F548" i="2"/>
  <c r="F549" i="2"/>
  <c r="F550" i="2"/>
  <c r="F551" i="2"/>
  <c r="F552" i="2"/>
  <c r="F553" i="2"/>
  <c r="F554" i="2"/>
  <c r="F555" i="2"/>
  <c r="G556" i="2"/>
  <c r="G541" i="2" s="1"/>
  <c r="G540" i="2" s="1"/>
  <c r="H556" i="2"/>
  <c r="I556" i="2"/>
  <c r="J556" i="2"/>
  <c r="F557" i="2"/>
  <c r="F558" i="2"/>
  <c r="F559" i="2"/>
  <c r="F560" i="2"/>
  <c r="F561" i="2"/>
  <c r="F562" i="2"/>
  <c r="F563" i="2"/>
  <c r="F564" i="2"/>
  <c r="F565" i="2"/>
  <c r="F566" i="2"/>
  <c r="G567" i="2"/>
  <c r="H567" i="2"/>
  <c r="I567" i="2"/>
  <c r="J567" i="2"/>
  <c r="F568" i="2"/>
  <c r="F569" i="2"/>
  <c r="F570" i="2"/>
  <c r="F571" i="2"/>
  <c r="F572" i="2"/>
  <c r="F573" i="2"/>
  <c r="G576" i="2"/>
  <c r="H576" i="2"/>
  <c r="I576" i="2"/>
  <c r="J576" i="2"/>
  <c r="F577" i="2"/>
  <c r="F578" i="2"/>
  <c r="G579" i="2"/>
  <c r="H579" i="2"/>
  <c r="I579" i="2"/>
  <c r="J579" i="2"/>
  <c r="F580" i="2"/>
  <c r="F581" i="2"/>
  <c r="F582" i="2"/>
  <c r="F583" i="2"/>
  <c r="F584" i="2"/>
  <c r="F585" i="2"/>
  <c r="G586" i="2"/>
  <c r="H586" i="2"/>
  <c r="I586" i="2"/>
  <c r="J586" i="2"/>
  <c r="F587" i="2"/>
  <c r="F588" i="2"/>
  <c r="F589" i="2"/>
  <c r="F590" i="2"/>
  <c r="F591" i="2"/>
  <c r="F592" i="2"/>
  <c r="F593" i="2"/>
  <c r="F594" i="2"/>
  <c r="G595" i="2"/>
  <c r="H595" i="2"/>
  <c r="I595" i="2"/>
  <c r="J595" i="2"/>
  <c r="F596" i="2"/>
  <c r="F597" i="2"/>
  <c r="G600" i="2"/>
  <c r="H600" i="2"/>
  <c r="H599" i="2" s="1"/>
  <c r="I600" i="2"/>
  <c r="J600" i="2"/>
  <c r="F601" i="2"/>
  <c r="F602" i="2"/>
  <c r="F603" i="2"/>
  <c r="F604" i="2"/>
  <c r="F605" i="2"/>
  <c r="F606" i="2"/>
  <c r="F607" i="2"/>
  <c r="F608" i="2"/>
  <c r="F609" i="2"/>
  <c r="F610" i="2"/>
  <c r="G611" i="2"/>
  <c r="H611" i="2"/>
  <c r="I611" i="2"/>
  <c r="J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G633" i="2"/>
  <c r="H633" i="2"/>
  <c r="I633" i="2"/>
  <c r="J633" i="2"/>
  <c r="F634" i="2"/>
  <c r="F635" i="2"/>
  <c r="G638" i="2"/>
  <c r="H638" i="2"/>
  <c r="I638" i="2"/>
  <c r="J638" i="2"/>
  <c r="F639" i="2"/>
  <c r="F640" i="2"/>
  <c r="F638" i="2" s="1"/>
  <c r="G641" i="2"/>
  <c r="H641" i="2"/>
  <c r="I641" i="2"/>
  <c r="J641" i="2"/>
  <c r="F642" i="2"/>
  <c r="F643" i="2"/>
  <c r="F644" i="2"/>
  <c r="F645" i="2"/>
  <c r="F646" i="2"/>
  <c r="F647" i="2"/>
  <c r="G648" i="2"/>
  <c r="H648" i="2"/>
  <c r="I648" i="2"/>
  <c r="J648" i="2"/>
  <c r="F649" i="2"/>
  <c r="F650" i="2"/>
  <c r="F651" i="2"/>
  <c r="F652" i="2"/>
  <c r="F653" i="2"/>
  <c r="F654" i="2"/>
  <c r="G655" i="2"/>
  <c r="H655" i="2"/>
  <c r="I655" i="2"/>
  <c r="J655" i="2"/>
  <c r="F656" i="2"/>
  <c r="F657" i="2"/>
  <c r="G662" i="2"/>
  <c r="H662" i="2"/>
  <c r="I662" i="2"/>
  <c r="J662" i="2"/>
  <c r="J661" i="2" s="1"/>
  <c r="J660" i="2" s="1"/>
  <c r="F663" i="2"/>
  <c r="F664" i="2"/>
  <c r="F662" i="2" s="1"/>
  <c r="G665" i="2"/>
  <c r="H665" i="2"/>
  <c r="H661" i="2" s="1"/>
  <c r="I665" i="2"/>
  <c r="J665" i="2"/>
  <c r="F666" i="2"/>
  <c r="F667" i="2"/>
  <c r="F665" i="2" s="1"/>
  <c r="G668" i="2"/>
  <c r="H668" i="2"/>
  <c r="I668" i="2"/>
  <c r="J668" i="2"/>
  <c r="F669" i="2"/>
  <c r="F670" i="2"/>
  <c r="F671" i="2"/>
  <c r="F672" i="2"/>
  <c r="F673" i="2"/>
  <c r="F674" i="2"/>
  <c r="G677" i="2"/>
  <c r="H677" i="2"/>
  <c r="I677" i="2"/>
  <c r="J677" i="2"/>
  <c r="F678" i="2"/>
  <c r="F679" i="2"/>
  <c r="G680" i="2"/>
  <c r="H680" i="2"/>
  <c r="I680" i="2"/>
  <c r="I676" i="2" s="1"/>
  <c r="J680" i="2"/>
  <c r="F681" i="2"/>
  <c r="F682" i="2"/>
  <c r="G683" i="2"/>
  <c r="H683" i="2"/>
  <c r="I683" i="2"/>
  <c r="J683" i="2"/>
  <c r="F684" i="2"/>
  <c r="F685" i="2"/>
  <c r="F683" i="2" s="1"/>
  <c r="F686" i="2"/>
  <c r="F687" i="2"/>
  <c r="F688" i="2"/>
  <c r="F689" i="2"/>
  <c r="G692" i="2"/>
  <c r="H692" i="2"/>
  <c r="H691" i="2" s="1"/>
  <c r="H690" i="2" s="1"/>
  <c r="I692" i="2"/>
  <c r="J692" i="2"/>
  <c r="F693" i="2"/>
  <c r="F694" i="2"/>
  <c r="G695" i="2"/>
  <c r="G691" i="2" s="1"/>
  <c r="G690" i="2" s="1"/>
  <c r="H695" i="2"/>
  <c r="I695" i="2"/>
  <c r="J695" i="2"/>
  <c r="J691" i="2" s="1"/>
  <c r="F696" i="2"/>
  <c r="F695" i="2" s="1"/>
  <c r="F697" i="2"/>
  <c r="G698" i="2"/>
  <c r="H698" i="2"/>
  <c r="I698" i="2"/>
  <c r="J698" i="2"/>
  <c r="F699" i="2"/>
  <c r="F700" i="2"/>
  <c r="F701" i="2"/>
  <c r="F702" i="2"/>
  <c r="F703" i="2"/>
  <c r="F704" i="2"/>
  <c r="G707" i="2"/>
  <c r="H707" i="2"/>
  <c r="I707" i="2"/>
  <c r="I706" i="2" s="1"/>
  <c r="J707" i="2"/>
  <c r="J706" i="2" s="1"/>
  <c r="F708" i="2"/>
  <c r="F709" i="2"/>
  <c r="G710" i="2"/>
  <c r="H710" i="2"/>
  <c r="H706" i="2" s="1"/>
  <c r="I710" i="2"/>
  <c r="J710" i="2"/>
  <c r="F711" i="2"/>
  <c r="F712" i="2"/>
  <c r="G713" i="2"/>
  <c r="H713" i="2"/>
  <c r="I713" i="2"/>
  <c r="J713" i="2"/>
  <c r="F714" i="2"/>
  <c r="F715" i="2"/>
  <c r="F716" i="2"/>
  <c r="F717" i="2"/>
  <c r="F718" i="2"/>
  <c r="F719" i="2"/>
  <c r="G722" i="2"/>
  <c r="H722" i="2"/>
  <c r="I722" i="2"/>
  <c r="J722" i="2"/>
  <c r="F723" i="2"/>
  <c r="F724" i="2"/>
  <c r="G725" i="2"/>
  <c r="H725" i="2"/>
  <c r="H721" i="2" s="1"/>
  <c r="I725" i="2"/>
  <c r="J725" i="2"/>
  <c r="F726" i="2"/>
  <c r="F727" i="2"/>
  <c r="G728" i="2"/>
  <c r="H728" i="2"/>
  <c r="I728" i="2"/>
  <c r="J728" i="2"/>
  <c r="F729" i="2"/>
  <c r="F730" i="2"/>
  <c r="F731" i="2"/>
  <c r="F732" i="2"/>
  <c r="F733" i="2"/>
  <c r="F734" i="2"/>
  <c r="G737" i="2"/>
  <c r="H737" i="2"/>
  <c r="I737" i="2"/>
  <c r="J737" i="2"/>
  <c r="F738" i="2"/>
  <c r="F739" i="2"/>
  <c r="F737" i="2" s="1"/>
  <c r="G740" i="2"/>
  <c r="H740" i="2"/>
  <c r="I740" i="2"/>
  <c r="I736" i="2" s="1"/>
  <c r="J740" i="2"/>
  <c r="F741" i="2"/>
  <c r="F742" i="2"/>
  <c r="G743" i="2"/>
  <c r="H743" i="2"/>
  <c r="I743" i="2"/>
  <c r="J743" i="2"/>
  <c r="F744" i="2"/>
  <c r="F745" i="2"/>
  <c r="F746" i="2"/>
  <c r="F747" i="2"/>
  <c r="F748" i="2"/>
  <c r="F749" i="2"/>
  <c r="G752" i="2"/>
  <c r="H752" i="2"/>
  <c r="I752" i="2"/>
  <c r="J752" i="2"/>
  <c r="J751" i="2" s="1"/>
  <c r="F753" i="2"/>
  <c r="F754" i="2"/>
  <c r="G755" i="2"/>
  <c r="G751" i="2" s="1"/>
  <c r="H755" i="2"/>
  <c r="H751" i="2" s="1"/>
  <c r="I755" i="2"/>
  <c r="J755" i="2"/>
  <c r="F756" i="2"/>
  <c r="F757" i="2"/>
  <c r="F755" i="2" s="1"/>
  <c r="G758" i="2"/>
  <c r="H758" i="2"/>
  <c r="I758" i="2"/>
  <c r="J758" i="2"/>
  <c r="F759" i="2"/>
  <c r="F760" i="2"/>
  <c r="F761" i="2"/>
  <c r="F762" i="2"/>
  <c r="F763" i="2"/>
  <c r="F764" i="2"/>
  <c r="G767" i="2"/>
  <c r="H767" i="2"/>
  <c r="I767" i="2"/>
  <c r="J767" i="2"/>
  <c r="F768" i="2"/>
  <c r="F769" i="2"/>
  <c r="G770" i="2"/>
  <c r="H770" i="2"/>
  <c r="I770" i="2"/>
  <c r="I766" i="2" s="1"/>
  <c r="J770" i="2"/>
  <c r="J766" i="2" s="1"/>
  <c r="F771" i="2"/>
  <c r="F772" i="2"/>
  <c r="G773" i="2"/>
  <c r="H773" i="2"/>
  <c r="I773" i="2"/>
  <c r="J773" i="2"/>
  <c r="F774" i="2"/>
  <c r="F775" i="2"/>
  <c r="F773" i="2" s="1"/>
  <c r="F776" i="2"/>
  <c r="F777" i="2"/>
  <c r="F778" i="2"/>
  <c r="F779" i="2"/>
  <c r="G783" i="2"/>
  <c r="H783" i="2"/>
  <c r="I783" i="2"/>
  <c r="J783" i="2"/>
  <c r="F784" i="2"/>
  <c r="F785" i="2"/>
  <c r="F786" i="2"/>
  <c r="G787" i="2"/>
  <c r="H787" i="2"/>
  <c r="I787" i="2"/>
  <c r="J787" i="2"/>
  <c r="F788" i="2"/>
  <c r="F789" i="2"/>
  <c r="I790" i="2"/>
  <c r="G791" i="2"/>
  <c r="H791" i="2"/>
  <c r="I791" i="2"/>
  <c r="J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G808" i="2"/>
  <c r="G790" i="2" s="1"/>
  <c r="H808" i="2"/>
  <c r="I808" i="2"/>
  <c r="J808" i="2"/>
  <c r="F809" i="2"/>
  <c r="F810" i="2"/>
  <c r="F811" i="2"/>
  <c r="F812" i="2"/>
  <c r="F813" i="2"/>
  <c r="F814" i="2"/>
  <c r="F815" i="2"/>
  <c r="F816" i="2"/>
  <c r="F817" i="2"/>
  <c r="F818" i="2"/>
  <c r="G821" i="2"/>
  <c r="H821" i="2"/>
  <c r="I821" i="2"/>
  <c r="J821" i="2"/>
  <c r="F822" i="2"/>
  <c r="F823" i="2"/>
  <c r="F821" i="2" s="1"/>
  <c r="G824" i="2"/>
  <c r="H824" i="2"/>
  <c r="I824" i="2"/>
  <c r="J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G837" i="2"/>
  <c r="H837" i="2"/>
  <c r="I837" i="2"/>
  <c r="J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G863" i="2"/>
  <c r="H863" i="2"/>
  <c r="I863" i="2"/>
  <c r="J863" i="2"/>
  <c r="F864" i="2"/>
  <c r="F865" i="2"/>
  <c r="G868" i="2"/>
  <c r="H868" i="2"/>
  <c r="I868" i="2"/>
  <c r="J868" i="2"/>
  <c r="F869" i="2"/>
  <c r="F870" i="2"/>
  <c r="G871" i="2"/>
  <c r="H871" i="2"/>
  <c r="I871" i="2"/>
  <c r="J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G884" i="2"/>
  <c r="H884" i="2"/>
  <c r="I884" i="2"/>
  <c r="J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G913" i="2"/>
  <c r="H913" i="2"/>
  <c r="I913" i="2"/>
  <c r="J913" i="2"/>
  <c r="F914" i="2"/>
  <c r="F913" i="2" s="1"/>
  <c r="F915" i="2"/>
  <c r="G918" i="2"/>
  <c r="H918" i="2"/>
  <c r="I918" i="2"/>
  <c r="J918" i="2"/>
  <c r="F919" i="2"/>
  <c r="F920" i="2"/>
  <c r="G921" i="2"/>
  <c r="H921" i="2"/>
  <c r="I921" i="2"/>
  <c r="J921" i="2"/>
  <c r="J917" i="2" s="1"/>
  <c r="F922" i="2"/>
  <c r="F921" i="2" s="1"/>
  <c r="F923" i="2"/>
  <c r="F924" i="2"/>
  <c r="F925" i="2"/>
  <c r="F926" i="2"/>
  <c r="F927" i="2"/>
  <c r="F928" i="2"/>
  <c r="F929" i="2"/>
  <c r="F930" i="2"/>
  <c r="F931" i="2"/>
  <c r="G932" i="2"/>
  <c r="H932" i="2"/>
  <c r="I932" i="2"/>
  <c r="J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G957" i="2"/>
  <c r="H957" i="2"/>
  <c r="I957" i="2"/>
  <c r="J957" i="2"/>
  <c r="F958" i="2"/>
  <c r="F959" i="2"/>
  <c r="F960" i="2"/>
  <c r="F961" i="2"/>
  <c r="G964" i="2"/>
  <c r="H964" i="2"/>
  <c r="I964" i="2"/>
  <c r="J964" i="2"/>
  <c r="F965" i="2"/>
  <c r="F966" i="2"/>
  <c r="G967" i="2"/>
  <c r="H967" i="2"/>
  <c r="I967" i="2"/>
  <c r="J967" i="2"/>
  <c r="F968" i="2"/>
  <c r="F969" i="2"/>
  <c r="G970" i="2"/>
  <c r="H970" i="2"/>
  <c r="I970" i="2"/>
  <c r="J970" i="2"/>
  <c r="F971" i="2"/>
  <c r="F972" i="2"/>
  <c r="G973" i="2"/>
  <c r="H973" i="2"/>
  <c r="I973" i="2"/>
  <c r="J973" i="2"/>
  <c r="F974" i="2"/>
  <c r="F973" i="2" s="1"/>
  <c r="F975" i="2"/>
  <c r="G980" i="2"/>
  <c r="G979" i="2" s="1"/>
  <c r="H980" i="2"/>
  <c r="H979" i="2" s="1"/>
  <c r="I980" i="2"/>
  <c r="J980" i="2"/>
  <c r="J979" i="2" s="1"/>
  <c r="J978" i="2" s="1"/>
  <c r="F981" i="2"/>
  <c r="F982" i="2"/>
  <c r="F983" i="2"/>
  <c r="F984" i="2"/>
  <c r="F985" i="2"/>
  <c r="F986" i="2"/>
  <c r="F987" i="2"/>
  <c r="G988" i="2"/>
  <c r="H988" i="2"/>
  <c r="I988" i="2"/>
  <c r="I979" i="2" s="1"/>
  <c r="I978" i="2" s="1"/>
  <c r="J988" i="2"/>
  <c r="F989" i="2"/>
  <c r="F990" i="2"/>
  <c r="F991" i="2"/>
  <c r="F992" i="2"/>
  <c r="F993" i="2"/>
  <c r="G994" i="2"/>
  <c r="H994" i="2"/>
  <c r="I994" i="2"/>
  <c r="J994" i="2"/>
  <c r="F995" i="2"/>
  <c r="F996" i="2"/>
  <c r="F994" i="2" s="1"/>
  <c r="G999" i="2"/>
  <c r="H999" i="2"/>
  <c r="I999" i="2"/>
  <c r="J999" i="2"/>
  <c r="F1000" i="2"/>
  <c r="F1001" i="2"/>
  <c r="G1002" i="2"/>
  <c r="H1002" i="2"/>
  <c r="I1002" i="2"/>
  <c r="J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G1015" i="2"/>
  <c r="H1015" i="2"/>
  <c r="I1015" i="2"/>
  <c r="J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G1034" i="2"/>
  <c r="H1034" i="2"/>
  <c r="I1034" i="2"/>
  <c r="J1034" i="2"/>
  <c r="F1035" i="2"/>
  <c r="F1036" i="2"/>
  <c r="G1039" i="2"/>
  <c r="H1039" i="2"/>
  <c r="I1039" i="2"/>
  <c r="J1039" i="2"/>
  <c r="F1040" i="2"/>
  <c r="F1041" i="2"/>
  <c r="G1042" i="2"/>
  <c r="H1042" i="2"/>
  <c r="I1042" i="2"/>
  <c r="J1042" i="2"/>
  <c r="F1043" i="2"/>
  <c r="F1044" i="2"/>
  <c r="F1045" i="2"/>
  <c r="F1046" i="2"/>
  <c r="F1047" i="2"/>
  <c r="F1048" i="2"/>
  <c r="F1049" i="2"/>
  <c r="F1050" i="2"/>
  <c r="G1051" i="2"/>
  <c r="H1051" i="2"/>
  <c r="I1051" i="2"/>
  <c r="J1051" i="2"/>
  <c r="F1052" i="2"/>
  <c r="F1053" i="2"/>
  <c r="F1054" i="2"/>
  <c r="G1055" i="2"/>
  <c r="H1055" i="2"/>
  <c r="I1055" i="2"/>
  <c r="J1055" i="2"/>
  <c r="F1056" i="2"/>
  <c r="F1057" i="2"/>
  <c r="G1062" i="2"/>
  <c r="G1061" i="2" s="1"/>
  <c r="G1060" i="2" s="1"/>
  <c r="H1062" i="2"/>
  <c r="I1062" i="2"/>
  <c r="J1062" i="2"/>
  <c r="F1063" i="2"/>
  <c r="F1064" i="2"/>
  <c r="G1065" i="2"/>
  <c r="H1065" i="2"/>
  <c r="I1065" i="2"/>
  <c r="J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G1078" i="2"/>
  <c r="H1078" i="2"/>
  <c r="I1078" i="2"/>
  <c r="J1078" i="2"/>
  <c r="F1079" i="2"/>
  <c r="F1080" i="2"/>
  <c r="F1081" i="2"/>
  <c r="F1082" i="2"/>
  <c r="F1083" i="2"/>
  <c r="F1084" i="2"/>
  <c r="F1085" i="2"/>
  <c r="F1086" i="2"/>
  <c r="F1087" i="2"/>
  <c r="F1088" i="2"/>
  <c r="G1089" i="2"/>
  <c r="H1089" i="2"/>
  <c r="I1089" i="2"/>
  <c r="J1089" i="2"/>
  <c r="F1090" i="2"/>
  <c r="F1091" i="2"/>
  <c r="G1094" i="2"/>
  <c r="H1094" i="2"/>
  <c r="I1094" i="2"/>
  <c r="J1094" i="2"/>
  <c r="F1095" i="2"/>
  <c r="F1096" i="2"/>
  <c r="F1094" i="2" s="1"/>
  <c r="G1097" i="2"/>
  <c r="H1097" i="2"/>
  <c r="I1097" i="2"/>
  <c r="J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G1110" i="2"/>
  <c r="H1110" i="2"/>
  <c r="I1110" i="2"/>
  <c r="J1110" i="2"/>
  <c r="F1111" i="2"/>
  <c r="F1112" i="2"/>
  <c r="F1113" i="2"/>
  <c r="F1114" i="2"/>
  <c r="F1115" i="2"/>
  <c r="F1116" i="2"/>
  <c r="F1117" i="2"/>
  <c r="F1118" i="2"/>
  <c r="G1119" i="2"/>
  <c r="H1119" i="2"/>
  <c r="I1119" i="2"/>
  <c r="J1119" i="2"/>
  <c r="F1120" i="2"/>
  <c r="F1121" i="2"/>
  <c r="G1124" i="2"/>
  <c r="H1124" i="2"/>
  <c r="I1124" i="2"/>
  <c r="J1124" i="2"/>
  <c r="F1125" i="2"/>
  <c r="F1126" i="2"/>
  <c r="F1124" i="2" s="1"/>
  <c r="G1127" i="2"/>
  <c r="H1127" i="2"/>
  <c r="I1127" i="2"/>
  <c r="J1127" i="2"/>
  <c r="F1128" i="2"/>
  <c r="F1129" i="2"/>
  <c r="F1130" i="2"/>
  <c r="F1131" i="2"/>
  <c r="F1132" i="2"/>
  <c r="G1133" i="2"/>
  <c r="H1133" i="2"/>
  <c r="I1133" i="2"/>
  <c r="J1133" i="2"/>
  <c r="F1134" i="2"/>
  <c r="F1135" i="2"/>
  <c r="F1136" i="2"/>
  <c r="F1137" i="2"/>
  <c r="F1138" i="2"/>
  <c r="G1139" i="2"/>
  <c r="H1139" i="2"/>
  <c r="I1139" i="2"/>
  <c r="J1139" i="2"/>
  <c r="F1140" i="2"/>
  <c r="F1141" i="2"/>
  <c r="G1144" i="2"/>
  <c r="H1144" i="2"/>
  <c r="I1144" i="2"/>
  <c r="J1144" i="2"/>
  <c r="F1145" i="2"/>
  <c r="F1146" i="2"/>
  <c r="G1147" i="2"/>
  <c r="H1147" i="2"/>
  <c r="I1147" i="2"/>
  <c r="J1147" i="2"/>
  <c r="F1148" i="2"/>
  <c r="F1149" i="2"/>
  <c r="F1150" i="2"/>
  <c r="F1151" i="2"/>
  <c r="F1152" i="2"/>
  <c r="G1153" i="2"/>
  <c r="H1153" i="2"/>
  <c r="I1153" i="2"/>
  <c r="J1153" i="2"/>
  <c r="F1154" i="2"/>
  <c r="F1155" i="2"/>
  <c r="F1156" i="2"/>
  <c r="F1157" i="2"/>
  <c r="G1158" i="2"/>
  <c r="H1158" i="2"/>
  <c r="I1158" i="2"/>
  <c r="J1158" i="2"/>
  <c r="F1159" i="2"/>
  <c r="F1160" i="2"/>
  <c r="E63" i="7" l="1"/>
  <c r="F28" i="6"/>
  <c r="H1093" i="2"/>
  <c r="H1092" i="2" s="1"/>
  <c r="J916" i="2"/>
  <c r="F438" i="2"/>
  <c r="F147" i="2"/>
  <c r="G53" i="2"/>
  <c r="H1123" i="2"/>
  <c r="F1062" i="2"/>
  <c r="H1038" i="2"/>
  <c r="J998" i="2"/>
  <c r="J997" i="2" s="1"/>
  <c r="J976" i="2" s="1"/>
  <c r="I867" i="2"/>
  <c r="I866" i="2" s="1"/>
  <c r="F787" i="2"/>
  <c r="J765" i="2"/>
  <c r="H750" i="2"/>
  <c r="F743" i="2"/>
  <c r="J721" i="2"/>
  <c r="J720" i="2" s="1"/>
  <c r="H705" i="2"/>
  <c r="H660" i="2"/>
  <c r="G599" i="2"/>
  <c r="G598" i="2" s="1"/>
  <c r="F378" i="2"/>
  <c r="F324" i="2"/>
  <c r="J278" i="2"/>
  <c r="J277" i="2" s="1"/>
  <c r="F267" i="2"/>
  <c r="H247" i="2"/>
  <c r="H187" i="2"/>
  <c r="H186" i="2" s="1"/>
  <c r="J168" i="2"/>
  <c r="J167" i="2" s="1"/>
  <c r="J151" i="2"/>
  <c r="J150" i="2" s="1"/>
  <c r="H85" i="2"/>
  <c r="H84" i="2" s="1"/>
  <c r="F37" i="2"/>
  <c r="F999" i="2"/>
  <c r="F770" i="2"/>
  <c r="F722" i="2"/>
  <c r="I494" i="2"/>
  <c r="I493" i="2" s="1"/>
  <c r="G416" i="2"/>
  <c r="G415" i="2" s="1"/>
  <c r="G214" i="2"/>
  <c r="F58" i="2"/>
  <c r="I26" i="2"/>
  <c r="F1055" i="2"/>
  <c r="G1038" i="2"/>
  <c r="F964" i="2"/>
  <c r="F963" i="2" s="1"/>
  <c r="F962" i="2" s="1"/>
  <c r="H867" i="2"/>
  <c r="H866" i="2" s="1"/>
  <c r="I765" i="2"/>
  <c r="G750" i="2"/>
  <c r="I721" i="2"/>
  <c r="I720" i="2" s="1"/>
  <c r="I675" i="2"/>
  <c r="G661" i="2"/>
  <c r="G660" i="2" s="1"/>
  <c r="F595" i="2"/>
  <c r="F542" i="2"/>
  <c r="F511" i="2"/>
  <c r="J433" i="2"/>
  <c r="J432" i="2" s="1"/>
  <c r="J339" i="2"/>
  <c r="F334" i="2"/>
  <c r="F332" i="2" s="1"/>
  <c r="J233" i="2"/>
  <c r="I201" i="2"/>
  <c r="I200" i="2" s="1"/>
  <c r="G187" i="2"/>
  <c r="H67" i="2"/>
  <c r="H66" i="2" s="1"/>
  <c r="F31" i="2"/>
  <c r="G9" i="14"/>
  <c r="H9" i="14" s="1"/>
  <c r="J1061" i="2"/>
  <c r="F808" i="2"/>
  <c r="H720" i="2"/>
  <c r="J690" i="2"/>
  <c r="H676" i="2"/>
  <c r="H675" i="2" s="1"/>
  <c r="H637" i="2"/>
  <c r="H636" i="2" s="1"/>
  <c r="I575" i="2"/>
  <c r="I574" i="2" s="1"/>
  <c r="I515" i="2"/>
  <c r="I514" i="2" s="1"/>
  <c r="G382" i="2"/>
  <c r="G381" i="2" s="1"/>
  <c r="J266" i="2"/>
  <c r="J265" i="2" s="1"/>
  <c r="F1144" i="2"/>
  <c r="F1034" i="2"/>
  <c r="J963" i="2"/>
  <c r="J962" i="2" s="1"/>
  <c r="F868" i="2"/>
  <c r="H782" i="2"/>
  <c r="F752" i="2"/>
  <c r="I735" i="2"/>
  <c r="F707" i="2"/>
  <c r="I691" i="2"/>
  <c r="I690" i="2" s="1"/>
  <c r="I658" i="2" s="1"/>
  <c r="G676" i="2"/>
  <c r="J541" i="2"/>
  <c r="J540" i="2" s="1"/>
  <c r="H339" i="2"/>
  <c r="H338" i="2" s="1"/>
  <c r="I328" i="2"/>
  <c r="I327" i="2" s="1"/>
  <c r="I266" i="2"/>
  <c r="I265" i="2" s="1"/>
  <c r="F242" i="2"/>
  <c r="J215" i="2"/>
  <c r="J214" i="2" s="1"/>
  <c r="G150" i="2"/>
  <c r="J137" i="2"/>
  <c r="G124" i="2"/>
  <c r="G123" i="2" s="1"/>
  <c r="G84" i="2"/>
  <c r="F63" i="2"/>
  <c r="I53" i="2"/>
  <c r="I52" i="2" s="1"/>
  <c r="I36" i="2"/>
  <c r="I35" i="2" s="1"/>
  <c r="F27" i="2"/>
  <c r="H10" i="2"/>
  <c r="F791" i="2"/>
  <c r="F790" i="2" s="1"/>
  <c r="F932" i="2"/>
  <c r="J867" i="2"/>
  <c r="J866" i="2" s="1"/>
  <c r="F358" i="2"/>
  <c r="F254" i="2"/>
  <c r="H246" i="2"/>
  <c r="F192" i="2"/>
  <c r="F187" i="2" s="1"/>
  <c r="G136" i="2"/>
  <c r="F68" i="2"/>
  <c r="G66" i="2"/>
  <c r="H1274" i="14"/>
  <c r="G1273" i="14"/>
  <c r="I963" i="2"/>
  <c r="I962" i="2" s="1"/>
  <c r="J750" i="2"/>
  <c r="J705" i="2"/>
  <c r="I339" i="2"/>
  <c r="I338" i="2" s="1"/>
  <c r="F304" i="2"/>
  <c r="H963" i="2"/>
  <c r="H962" i="2" s="1"/>
  <c r="G820" i="2"/>
  <c r="G819" i="2" s="1"/>
  <c r="J782" i="2"/>
  <c r="F767" i="2"/>
  <c r="I705" i="2"/>
  <c r="F677" i="2"/>
  <c r="F676" i="2" s="1"/>
  <c r="F675" i="2" s="1"/>
  <c r="F497" i="2"/>
  <c r="G1143" i="2"/>
  <c r="G1142" i="2" s="1"/>
  <c r="F1110" i="2"/>
  <c r="H1061" i="2"/>
  <c r="H1060" i="2" s="1"/>
  <c r="J1038" i="2"/>
  <c r="J1037" i="2" s="1"/>
  <c r="F1015" i="2"/>
  <c r="F980" i="2"/>
  <c r="F970" i="2"/>
  <c r="G963" i="2"/>
  <c r="G962" i="2" s="1"/>
  <c r="I917" i="2"/>
  <c r="I916" i="2" s="1"/>
  <c r="F918" i="2"/>
  <c r="G917" i="2"/>
  <c r="G916" i="2" s="1"/>
  <c r="G867" i="2"/>
  <c r="G866" i="2" s="1"/>
  <c r="J820" i="2"/>
  <c r="J819" i="2" s="1"/>
  <c r="H820" i="2"/>
  <c r="H819" i="2" s="1"/>
  <c r="J790" i="2"/>
  <c r="I599" i="2"/>
  <c r="I598" i="2" s="1"/>
  <c r="F576" i="2"/>
  <c r="G575" i="2"/>
  <c r="G574" i="2" s="1"/>
  <c r="F530" i="2"/>
  <c r="H515" i="2"/>
  <c r="H514" i="2" s="1"/>
  <c r="H447" i="2"/>
  <c r="H446" i="2" s="1"/>
  <c r="F442" i="2"/>
  <c r="F421" i="2"/>
  <c r="F270" i="2"/>
  <c r="F266" i="2" s="1"/>
  <c r="F265" i="2" s="1"/>
  <c r="F262" i="2"/>
  <c r="G247" i="2"/>
  <c r="G246" i="2" s="1"/>
  <c r="F152" i="2"/>
  <c r="H151" i="2"/>
  <c r="H150" i="2" s="1"/>
  <c r="F128" i="2"/>
  <c r="F124" i="2" s="1"/>
  <c r="H123" i="2"/>
  <c r="F86" i="2"/>
  <c r="G26" i="2"/>
  <c r="F11" i="2"/>
  <c r="H1356" i="14"/>
  <c r="G1282" i="14"/>
  <c r="H1282" i="14" s="1"/>
  <c r="H1122" i="2"/>
  <c r="F1078" i="2"/>
  <c r="J1060" i="2"/>
  <c r="F837" i="2"/>
  <c r="H790" i="2"/>
  <c r="H780" i="2" s="1"/>
  <c r="G303" i="2"/>
  <c r="G302" i="2" s="1"/>
  <c r="F957" i="2"/>
  <c r="F824" i="2"/>
  <c r="F725" i="2"/>
  <c r="F721" i="2" s="1"/>
  <c r="F710" i="2"/>
  <c r="F698" i="2"/>
  <c r="G675" i="2"/>
  <c r="I447" i="2"/>
  <c r="I1143" i="2"/>
  <c r="I1142" i="2" s="1"/>
  <c r="J1123" i="2"/>
  <c r="J1122" i="2" s="1"/>
  <c r="J1058" i="2" s="1"/>
  <c r="J1093" i="2"/>
  <c r="J1092" i="2" s="1"/>
  <c r="H1037" i="2"/>
  <c r="H998" i="2"/>
  <c r="H997" i="2" s="1"/>
  <c r="F1158" i="2"/>
  <c r="F1153" i="2"/>
  <c r="J1143" i="2"/>
  <c r="J1142" i="2" s="1"/>
  <c r="F1127" i="2"/>
  <c r="I1123" i="2"/>
  <c r="F1119" i="2"/>
  <c r="F1097" i="2"/>
  <c r="F1089" i="2"/>
  <c r="F1039" i="2"/>
  <c r="G998" i="2"/>
  <c r="G997" i="2" s="1"/>
  <c r="I998" i="2"/>
  <c r="I997" i="2" s="1"/>
  <c r="I976" i="2" s="1"/>
  <c r="F988" i="2"/>
  <c r="G978" i="2"/>
  <c r="G782" i="2"/>
  <c r="G766" i="2"/>
  <c r="G765" i="2" s="1"/>
  <c r="I751" i="2"/>
  <c r="I750" i="2" s="1"/>
  <c r="G721" i="2"/>
  <c r="G706" i="2"/>
  <c r="G705" i="2" s="1"/>
  <c r="F668" i="2"/>
  <c r="G637" i="2"/>
  <c r="G636" i="2" s="1"/>
  <c r="H598" i="2"/>
  <c r="F579" i="2"/>
  <c r="J575" i="2"/>
  <c r="J574" i="2" s="1"/>
  <c r="G515" i="2"/>
  <c r="G514" i="2" s="1"/>
  <c r="J338" i="2"/>
  <c r="J327" i="2"/>
  <c r="F313" i="2"/>
  <c r="H303" i="2"/>
  <c r="H302" i="2" s="1"/>
  <c r="F288" i="2"/>
  <c r="H278" i="2"/>
  <c r="H277" i="2" s="1"/>
  <c r="F238" i="2"/>
  <c r="G233" i="2"/>
  <c r="G232" i="2" s="1"/>
  <c r="I214" i="2"/>
  <c r="F183" i="2"/>
  <c r="F173" i="2"/>
  <c r="F161" i="2"/>
  <c r="H382" i="2"/>
  <c r="H381" i="2" s="1"/>
  <c r="F345" i="2"/>
  <c r="F340" i="2"/>
  <c r="H328" i="2"/>
  <c r="H327" i="2" s="1"/>
  <c r="J303" i="2"/>
  <c r="J302" i="2" s="1"/>
  <c r="G278" i="2"/>
  <c r="J247" i="2"/>
  <c r="J246" i="2" s="1"/>
  <c r="F216" i="2"/>
  <c r="J201" i="2"/>
  <c r="J200" i="2" s="1"/>
  <c r="F138" i="2"/>
  <c r="F133" i="2"/>
  <c r="I124" i="2"/>
  <c r="I123" i="2" s="1"/>
  <c r="I85" i="2"/>
  <c r="I84" i="2" s="1"/>
  <c r="J53" i="2"/>
  <c r="J52" i="2" s="1"/>
  <c r="G36" i="2"/>
  <c r="G35" i="2" s="1"/>
  <c r="D25" i="3"/>
  <c r="F504" i="2"/>
  <c r="J494" i="2"/>
  <c r="J493" i="2" s="1"/>
  <c r="G494" i="2"/>
  <c r="G493" i="2" s="1"/>
  <c r="H494" i="2"/>
  <c r="H493" i="2" s="1"/>
  <c r="I472" i="2"/>
  <c r="I471" i="2" s="1"/>
  <c r="G446" i="2"/>
  <c r="F434" i="2"/>
  <c r="H1143" i="2"/>
  <c r="H1142" i="2" s="1"/>
  <c r="F1139" i="2"/>
  <c r="G1123" i="2"/>
  <c r="G1122" i="2" s="1"/>
  <c r="I1093" i="2"/>
  <c r="I1092" i="2" s="1"/>
  <c r="I1061" i="2"/>
  <c r="I1060" i="2" s="1"/>
  <c r="F1051" i="2"/>
  <c r="F967" i="2"/>
  <c r="H917" i="2"/>
  <c r="H916" i="2" s="1"/>
  <c r="F884" i="2"/>
  <c r="F871" i="2"/>
  <c r="F863" i="2"/>
  <c r="I820" i="2"/>
  <c r="I819" i="2" s="1"/>
  <c r="I780" i="2" s="1"/>
  <c r="I782" i="2"/>
  <c r="F783" i="2"/>
  <c r="H766" i="2"/>
  <c r="H765" i="2" s="1"/>
  <c r="H658" i="2" s="1"/>
  <c r="F758" i="2"/>
  <c r="F740" i="2"/>
  <c r="J736" i="2"/>
  <c r="J735" i="2" s="1"/>
  <c r="F692" i="2"/>
  <c r="F680" i="2"/>
  <c r="J676" i="2"/>
  <c r="J675" i="2" s="1"/>
  <c r="J658" i="2" s="1"/>
  <c r="I661" i="2"/>
  <c r="I660" i="2" s="1"/>
  <c r="F655" i="2"/>
  <c r="I637" i="2"/>
  <c r="I636" i="2" s="1"/>
  <c r="F633" i="2"/>
  <c r="J599" i="2"/>
  <c r="J598" i="2" s="1"/>
  <c r="J515" i="2"/>
  <c r="J514" i="2" s="1"/>
  <c r="F496" i="2"/>
  <c r="F495" i="2" s="1"/>
  <c r="G472" i="2"/>
  <c r="G471" i="2" s="1"/>
  <c r="F473" i="2"/>
  <c r="G433" i="2"/>
  <c r="G432" i="2" s="1"/>
  <c r="F412" i="2"/>
  <c r="F383" i="2"/>
  <c r="F335" i="2"/>
  <c r="F329" i="2"/>
  <c r="F299" i="2"/>
  <c r="G266" i="2"/>
  <c r="G265" i="2" s="1"/>
  <c r="H233" i="2"/>
  <c r="H232" i="2" s="1"/>
  <c r="H215" i="2"/>
  <c r="H214" i="2" s="1"/>
  <c r="F204" i="2"/>
  <c r="F201" i="2" s="1"/>
  <c r="F200" i="2" s="1"/>
  <c r="J187" i="2"/>
  <c r="J186" i="2" s="1"/>
  <c r="F179" i="2"/>
  <c r="H168" i="2"/>
  <c r="H167" i="2" s="1"/>
  <c r="I150" i="2"/>
  <c r="H137" i="2"/>
  <c r="H136" i="2" s="1"/>
  <c r="J124" i="2"/>
  <c r="J123" i="2" s="1"/>
  <c r="F125" i="2"/>
  <c r="F93" i="2"/>
  <c r="F54" i="2"/>
  <c r="F53" i="2" s="1"/>
  <c r="F52" i="2" s="1"/>
  <c r="H53" i="2"/>
  <c r="H52" i="2" s="1"/>
  <c r="F40" i="2"/>
  <c r="F36" i="2" s="1"/>
  <c r="F35" i="2" s="1"/>
  <c r="H36" i="2"/>
  <c r="H35" i="2" s="1"/>
  <c r="J36" i="2"/>
  <c r="J35" i="2" s="1"/>
  <c r="H26" i="2"/>
  <c r="J10" i="2"/>
  <c r="D13" i="3"/>
  <c r="D32" i="4"/>
  <c r="H953" i="14"/>
  <c r="G952" i="14"/>
  <c r="H952" i="14" s="1"/>
  <c r="G2808" i="14"/>
  <c r="H2808" i="14" s="1"/>
  <c r="H2809" i="14"/>
  <c r="H1060" i="14"/>
  <c r="G1059" i="14"/>
  <c r="H1059" i="14" s="1"/>
  <c r="G1817" i="14"/>
  <c r="H1817" i="14" s="1"/>
  <c r="H2239" i="14"/>
  <c r="G2238" i="14"/>
  <c r="H2238" i="14" s="1"/>
  <c r="H460" i="14"/>
  <c r="G459" i="14"/>
  <c r="H459" i="14" s="1"/>
  <c r="H830" i="14"/>
  <c r="H581" i="14"/>
  <c r="G580" i="14"/>
  <c r="H580" i="14" s="1"/>
  <c r="H542" i="14"/>
  <c r="G541" i="14"/>
  <c r="H541" i="14" s="1"/>
  <c r="H2654" i="14"/>
  <c r="G2653" i="14"/>
  <c r="G2421" i="14"/>
  <c r="H2421" i="14" s="1"/>
  <c r="H2324" i="14"/>
  <c r="G2323" i="14"/>
  <c r="H2323" i="14" s="1"/>
  <c r="H2773" i="14"/>
  <c r="G2761" i="14"/>
  <c r="H2761" i="14" s="1"/>
  <c r="F1093" i="2"/>
  <c r="F1092" i="2" s="1"/>
  <c r="G976" i="2"/>
  <c r="F782" i="2"/>
  <c r="F736" i="2"/>
  <c r="F735" i="2" s="1"/>
  <c r="I1038" i="2"/>
  <c r="I1037" i="2" s="1"/>
  <c r="F661" i="2"/>
  <c r="F660" i="2" s="1"/>
  <c r="G1037" i="2"/>
  <c r="F917" i="2"/>
  <c r="F916" i="2" s="1"/>
  <c r="F751" i="2"/>
  <c r="F85" i="2"/>
  <c r="F84" i="2" s="1"/>
  <c r="F1002" i="2"/>
  <c r="F1147" i="2"/>
  <c r="F1143" i="2" s="1"/>
  <c r="F1142" i="2" s="1"/>
  <c r="F1133" i="2"/>
  <c r="F1123" i="2" s="1"/>
  <c r="F1122" i="2" s="1"/>
  <c r="I1122" i="2"/>
  <c r="G1093" i="2"/>
  <c r="G1092" i="2" s="1"/>
  <c r="F1065" i="2"/>
  <c r="F1061" i="2" s="1"/>
  <c r="F1060" i="2" s="1"/>
  <c r="F1042" i="2"/>
  <c r="H978" i="2"/>
  <c r="F820" i="2"/>
  <c r="F819" i="2" s="1"/>
  <c r="J780" i="2"/>
  <c r="F766" i="2"/>
  <c r="F765" i="2" s="1"/>
  <c r="F713" i="2"/>
  <c r="F648" i="2"/>
  <c r="J637" i="2"/>
  <c r="J636" i="2" s="1"/>
  <c r="F600" i="2"/>
  <c r="H541" i="2"/>
  <c r="H540" i="2" s="1"/>
  <c r="J446" i="2"/>
  <c r="H432" i="2"/>
  <c r="J415" i="2"/>
  <c r="G328" i="2"/>
  <c r="G327" i="2" s="1"/>
  <c r="J136" i="2"/>
  <c r="G52" i="2"/>
  <c r="D22" i="4"/>
  <c r="H575" i="2"/>
  <c r="H574" i="2" s="1"/>
  <c r="F556" i="2"/>
  <c r="F547" i="2"/>
  <c r="F516" i="2"/>
  <c r="F479" i="2"/>
  <c r="F472" i="2" s="1"/>
  <c r="F471" i="2" s="1"/>
  <c r="H472" i="2"/>
  <c r="H471" i="2" s="1"/>
  <c r="I446" i="2"/>
  <c r="F425" i="2"/>
  <c r="F394" i="2"/>
  <c r="F382" i="2" s="1"/>
  <c r="F381" i="2" s="1"/>
  <c r="G277" i="2"/>
  <c r="J232" i="2"/>
  <c r="F196" i="2"/>
  <c r="G720" i="2"/>
  <c r="F328" i="2"/>
  <c r="F327" i="2" s="1"/>
  <c r="I66" i="2"/>
  <c r="H736" i="2"/>
  <c r="H735" i="2" s="1"/>
  <c r="F279" i="2"/>
  <c r="F278" i="2" s="1"/>
  <c r="F247" i="2"/>
  <c r="F246" i="2" s="1"/>
  <c r="F142" i="2"/>
  <c r="F137" i="2" s="1"/>
  <c r="F136" i="2" s="1"/>
  <c r="G736" i="2"/>
  <c r="G735" i="2" s="1"/>
  <c r="F728" i="2"/>
  <c r="F691" i="2"/>
  <c r="F690" i="2" s="1"/>
  <c r="F611" i="2"/>
  <c r="I415" i="2"/>
  <c r="J382" i="2"/>
  <c r="J381" i="2" s="1"/>
  <c r="I302" i="2"/>
  <c r="F220" i="2"/>
  <c r="G168" i="2"/>
  <c r="G167" i="2" s="1"/>
  <c r="J67" i="2"/>
  <c r="J66" i="2" s="1"/>
  <c r="F15" i="2"/>
  <c r="F10" i="2" s="1"/>
  <c r="F641" i="2"/>
  <c r="F637" i="2" s="1"/>
  <c r="F636" i="2" s="1"/>
  <c r="F586" i="2"/>
  <c r="F567" i="2"/>
  <c r="I541" i="2"/>
  <c r="I540" i="2" s="1"/>
  <c r="F521" i="2"/>
  <c r="F457" i="2"/>
  <c r="F448" i="2"/>
  <c r="F447" i="2" s="1"/>
  <c r="F446" i="2" s="1"/>
  <c r="F417" i="2"/>
  <c r="F234" i="2"/>
  <c r="I232" i="2"/>
  <c r="H201" i="2"/>
  <c r="H200" i="2" s="1"/>
  <c r="G186" i="2"/>
  <c r="F79" i="2"/>
  <c r="F67" i="2" s="1"/>
  <c r="F66" i="2" s="1"/>
  <c r="F26" i="2"/>
  <c r="H637" i="1"/>
  <c r="H636" i="1"/>
  <c r="K634" i="1"/>
  <c r="H634" i="1"/>
  <c r="K633" i="1"/>
  <c r="H633" i="1"/>
  <c r="K629" i="1"/>
  <c r="H629" i="1"/>
  <c r="K628" i="1"/>
  <c r="H628" i="1"/>
  <c r="K627" i="1"/>
  <c r="H627" i="1"/>
  <c r="K626" i="1"/>
  <c r="H626" i="1"/>
  <c r="K624" i="1"/>
  <c r="J623" i="1"/>
  <c r="K623" i="1" s="1"/>
  <c r="J622" i="1"/>
  <c r="K622" i="1" s="1"/>
  <c r="H622" i="1"/>
  <c r="I621" i="1"/>
  <c r="I620" i="1" s="1"/>
  <c r="I619" i="1" s="1"/>
  <c r="G621" i="1"/>
  <c r="F621" i="1"/>
  <c r="F620" i="1" s="1"/>
  <c r="F619" i="1" s="1"/>
  <c r="E621" i="1"/>
  <c r="E620" i="1" s="1"/>
  <c r="E619" i="1" s="1"/>
  <c r="J617" i="1"/>
  <c r="K617" i="1" s="1"/>
  <c r="H617" i="1"/>
  <c r="I616" i="1"/>
  <c r="I615" i="1" s="1"/>
  <c r="G616" i="1"/>
  <c r="F616" i="1"/>
  <c r="F615" i="1" s="1"/>
  <c r="E616" i="1"/>
  <c r="E615" i="1" s="1"/>
  <c r="J613" i="1"/>
  <c r="K613" i="1" s="1"/>
  <c r="J612" i="1"/>
  <c r="K612" i="1" s="1"/>
  <c r="H612" i="1"/>
  <c r="J611" i="1"/>
  <c r="K611" i="1" s="1"/>
  <c r="H611" i="1"/>
  <c r="J610" i="1"/>
  <c r="K610" i="1" s="1"/>
  <c r="I609" i="1"/>
  <c r="I608" i="1" s="1"/>
  <c r="G609" i="1"/>
  <c r="G608" i="1" s="1"/>
  <c r="F609" i="1"/>
  <c r="F608" i="1" s="1"/>
  <c r="E609" i="1"/>
  <c r="E608" i="1" s="1"/>
  <c r="J606" i="1"/>
  <c r="K606" i="1" s="1"/>
  <c r="I605" i="1"/>
  <c r="I604" i="1" s="1"/>
  <c r="G605" i="1"/>
  <c r="G604" i="1" s="1"/>
  <c r="F605" i="1"/>
  <c r="F604" i="1" s="1"/>
  <c r="E605" i="1"/>
  <c r="E604" i="1" s="1"/>
  <c r="K602" i="1"/>
  <c r="H602" i="1"/>
  <c r="K601" i="1"/>
  <c r="H601" i="1"/>
  <c r="K600" i="1"/>
  <c r="H600" i="1"/>
  <c r="K599" i="1"/>
  <c r="H599" i="1"/>
  <c r="K598" i="1"/>
  <c r="H598" i="1"/>
  <c r="K597" i="1"/>
  <c r="H597" i="1"/>
  <c r="J596" i="1"/>
  <c r="I596" i="1"/>
  <c r="G596" i="1"/>
  <c r="F596" i="1"/>
  <c r="E596" i="1"/>
  <c r="J594" i="1"/>
  <c r="K594" i="1" s="1"/>
  <c r="H594" i="1"/>
  <c r="I593" i="1"/>
  <c r="I592" i="1" s="1"/>
  <c r="G593" i="1"/>
  <c r="F593" i="1"/>
  <c r="F592" i="1" s="1"/>
  <c r="E593" i="1"/>
  <c r="E592" i="1" s="1"/>
  <c r="J590" i="1"/>
  <c r="K590" i="1" s="1"/>
  <c r="H590" i="1"/>
  <c r="J589" i="1"/>
  <c r="K589" i="1" s="1"/>
  <c r="H589" i="1"/>
  <c r="J588" i="1"/>
  <c r="K588" i="1" s="1"/>
  <c r="H588" i="1"/>
  <c r="I587" i="1"/>
  <c r="I586" i="1" s="1"/>
  <c r="G587" i="1"/>
  <c r="F587" i="1"/>
  <c r="F586" i="1" s="1"/>
  <c r="E587" i="1"/>
  <c r="E586" i="1" s="1"/>
  <c r="J584" i="1"/>
  <c r="K584" i="1" s="1"/>
  <c r="H584" i="1"/>
  <c r="J583" i="1"/>
  <c r="K583" i="1" s="1"/>
  <c r="H583" i="1"/>
  <c r="J582" i="1"/>
  <c r="H582" i="1"/>
  <c r="J581" i="1"/>
  <c r="K581" i="1" s="1"/>
  <c r="H581" i="1"/>
  <c r="I580" i="1"/>
  <c r="G580" i="1"/>
  <c r="F580" i="1"/>
  <c r="E580" i="1"/>
  <c r="I579" i="1"/>
  <c r="G579" i="1"/>
  <c r="F579" i="1"/>
  <c r="E579" i="1"/>
  <c r="K577" i="1"/>
  <c r="H577" i="1"/>
  <c r="J576" i="1"/>
  <c r="K576" i="1" s="1"/>
  <c r="H576" i="1"/>
  <c r="I575" i="1"/>
  <c r="I574" i="1" s="1"/>
  <c r="G575" i="1"/>
  <c r="F575" i="1"/>
  <c r="F574" i="1" s="1"/>
  <c r="E575" i="1"/>
  <c r="E574" i="1" s="1"/>
  <c r="J572" i="1"/>
  <c r="K572" i="1" s="1"/>
  <c r="I571" i="1"/>
  <c r="I570" i="1" s="1"/>
  <c r="G571" i="1"/>
  <c r="G570" i="1" s="1"/>
  <c r="F571" i="1"/>
  <c r="F570" i="1" s="1"/>
  <c r="E571" i="1"/>
  <c r="E570" i="1" s="1"/>
  <c r="K567" i="1"/>
  <c r="H567" i="1"/>
  <c r="J566" i="1"/>
  <c r="K566" i="1" s="1"/>
  <c r="H566" i="1"/>
  <c r="K565" i="1"/>
  <c r="H565" i="1"/>
  <c r="J564" i="1"/>
  <c r="I564" i="1"/>
  <c r="I563" i="1" s="1"/>
  <c r="G564" i="1"/>
  <c r="F564" i="1"/>
  <c r="F563" i="1" s="1"/>
  <c r="E564" i="1"/>
  <c r="G563" i="1"/>
  <c r="J561" i="1"/>
  <c r="K561" i="1" s="1"/>
  <c r="H561" i="1"/>
  <c r="I560" i="1"/>
  <c r="I559" i="1" s="1"/>
  <c r="G560" i="1"/>
  <c r="F560" i="1"/>
  <c r="F559" i="1" s="1"/>
  <c r="E560" i="1"/>
  <c r="E559" i="1" s="1"/>
  <c r="K558" i="1"/>
  <c r="H558" i="1"/>
  <c r="K557" i="1"/>
  <c r="H557" i="1"/>
  <c r="K556" i="1"/>
  <c r="H556" i="1"/>
  <c r="K555" i="1"/>
  <c r="H555" i="1"/>
  <c r="K554" i="1"/>
  <c r="H554" i="1"/>
  <c r="J553" i="1"/>
  <c r="I553" i="1"/>
  <c r="I552" i="1" s="1"/>
  <c r="G553" i="1"/>
  <c r="F553" i="1"/>
  <c r="F552" i="1" s="1"/>
  <c r="E553" i="1"/>
  <c r="E552" i="1" s="1"/>
  <c r="K550" i="1"/>
  <c r="H550" i="1"/>
  <c r="K549" i="1"/>
  <c r="H549" i="1"/>
  <c r="K548" i="1"/>
  <c r="H548" i="1"/>
  <c r="K547" i="1"/>
  <c r="H547" i="1"/>
  <c r="K546" i="1"/>
  <c r="H546" i="1"/>
  <c r="J545" i="1"/>
  <c r="J544" i="1" s="1"/>
  <c r="F544" i="1"/>
  <c r="J543" i="1"/>
  <c r="K543" i="1" s="1"/>
  <c r="J542" i="1"/>
  <c r="K542" i="1" s="1"/>
  <c r="K541" i="1"/>
  <c r="J540" i="1"/>
  <c r="K540" i="1" s="1"/>
  <c r="J539" i="1"/>
  <c r="K539" i="1" s="1"/>
  <c r="J538" i="1"/>
  <c r="K538" i="1" s="1"/>
  <c r="H538" i="1"/>
  <c r="J537" i="1"/>
  <c r="H537" i="1"/>
  <c r="K536" i="1"/>
  <c r="H536" i="1"/>
  <c r="K535" i="1"/>
  <c r="H535" i="1"/>
  <c r="I534" i="1"/>
  <c r="I533" i="1" s="1"/>
  <c r="G534" i="1"/>
  <c r="G533" i="1" s="1"/>
  <c r="F534" i="1"/>
  <c r="E534" i="1"/>
  <c r="K531" i="1"/>
  <c r="H531" i="1"/>
  <c r="K530" i="1"/>
  <c r="H530" i="1"/>
  <c r="K529" i="1"/>
  <c r="H529" i="1"/>
  <c r="J528" i="1"/>
  <c r="K528" i="1" s="1"/>
  <c r="H528" i="1"/>
  <c r="J527" i="1"/>
  <c r="K527" i="1" s="1"/>
  <c r="H527" i="1"/>
  <c r="J526" i="1"/>
  <c r="K526" i="1" s="1"/>
  <c r="H526" i="1"/>
  <c r="J525" i="1"/>
  <c r="H525" i="1"/>
  <c r="J524" i="1"/>
  <c r="K524" i="1" s="1"/>
  <c r="H524" i="1"/>
  <c r="J523" i="1"/>
  <c r="K523" i="1" s="1"/>
  <c r="I522" i="1"/>
  <c r="I521" i="1" s="1"/>
  <c r="G522" i="1"/>
  <c r="F522" i="1"/>
  <c r="F521" i="1" s="1"/>
  <c r="E522" i="1"/>
  <c r="E521" i="1" s="1"/>
  <c r="J519" i="1"/>
  <c r="K519" i="1" s="1"/>
  <c r="J518" i="1"/>
  <c r="H518" i="1"/>
  <c r="I517" i="1"/>
  <c r="I516" i="1" s="1"/>
  <c r="G517" i="1"/>
  <c r="H517" i="1" s="1"/>
  <c r="F517" i="1"/>
  <c r="F516" i="1" s="1"/>
  <c r="K515" i="1"/>
  <c r="H515" i="1"/>
  <c r="K514" i="1"/>
  <c r="H514" i="1"/>
  <c r="K513" i="1"/>
  <c r="H513" i="1"/>
  <c r="K512" i="1"/>
  <c r="H512" i="1"/>
  <c r="J511" i="1"/>
  <c r="I511" i="1"/>
  <c r="I510" i="1" s="1"/>
  <c r="G511" i="1"/>
  <c r="G510" i="1" s="1"/>
  <c r="F511" i="1"/>
  <c r="F510" i="1" s="1"/>
  <c r="E511" i="1"/>
  <c r="J508" i="1"/>
  <c r="J507" i="1"/>
  <c r="K507" i="1" s="1"/>
  <c r="K506" i="1"/>
  <c r="K505" i="1"/>
  <c r="I504" i="1"/>
  <c r="G504" i="1"/>
  <c r="F504" i="1"/>
  <c r="E504" i="1"/>
  <c r="J503" i="1"/>
  <c r="K503" i="1" s="1"/>
  <c r="J502" i="1"/>
  <c r="K502" i="1" s="1"/>
  <c r="J501" i="1"/>
  <c r="K501" i="1" s="1"/>
  <c r="J500" i="1"/>
  <c r="K500" i="1" s="1"/>
  <c r="J499" i="1"/>
  <c r="K499" i="1" s="1"/>
  <c r="H499" i="1"/>
  <c r="J498" i="1"/>
  <c r="K498" i="1" s="1"/>
  <c r="H498" i="1"/>
  <c r="J497" i="1"/>
  <c r="K497" i="1" s="1"/>
  <c r="H497" i="1"/>
  <c r="J496" i="1"/>
  <c r="K496" i="1" s="1"/>
  <c r="H496" i="1"/>
  <c r="J495" i="1"/>
  <c r="K495" i="1" s="1"/>
  <c r="H495" i="1"/>
  <c r="J494" i="1"/>
  <c r="K494" i="1" s="1"/>
  <c r="H494" i="1"/>
  <c r="K493" i="1"/>
  <c r="H493" i="1"/>
  <c r="J492" i="1"/>
  <c r="K492" i="1" s="1"/>
  <c r="H492" i="1"/>
  <c r="K491" i="1"/>
  <c r="H491" i="1"/>
  <c r="J490" i="1"/>
  <c r="K490" i="1" s="1"/>
  <c r="H490" i="1"/>
  <c r="I489" i="1"/>
  <c r="G489" i="1"/>
  <c r="F489" i="1"/>
  <c r="E489" i="1"/>
  <c r="K486" i="1"/>
  <c r="H486" i="1"/>
  <c r="K485" i="1"/>
  <c r="H485" i="1"/>
  <c r="K484" i="1"/>
  <c r="H484" i="1"/>
  <c r="J483" i="1"/>
  <c r="H483" i="1"/>
  <c r="K482" i="1"/>
  <c r="H482" i="1"/>
  <c r="K481" i="1"/>
  <c r="H481" i="1"/>
  <c r="J480" i="1"/>
  <c r="K480" i="1" s="1"/>
  <c r="H480" i="1"/>
  <c r="J479" i="1"/>
  <c r="K479" i="1" s="1"/>
  <c r="H479" i="1"/>
  <c r="K478" i="1"/>
  <c r="H478" i="1"/>
  <c r="K477" i="1"/>
  <c r="H477" i="1"/>
  <c r="I476" i="1"/>
  <c r="I475" i="1" s="1"/>
  <c r="G476" i="1"/>
  <c r="F476" i="1"/>
  <c r="F475" i="1" s="1"/>
  <c r="E476" i="1"/>
  <c r="E475" i="1" s="1"/>
  <c r="K473" i="1"/>
  <c r="H473" i="1"/>
  <c r="J472" i="1"/>
  <c r="K472" i="1" s="1"/>
  <c r="H472" i="1"/>
  <c r="I471" i="1"/>
  <c r="I470" i="1" s="1"/>
  <c r="G471" i="1"/>
  <c r="F471" i="1"/>
  <c r="F470" i="1" s="1"/>
  <c r="E471" i="1"/>
  <c r="E470" i="1" s="1"/>
  <c r="K468" i="1"/>
  <c r="H468" i="1"/>
  <c r="J467" i="1"/>
  <c r="F467" i="1"/>
  <c r="K466" i="1"/>
  <c r="H466" i="1"/>
  <c r="J465" i="1"/>
  <c r="K465" i="1" s="1"/>
  <c r="J464" i="1"/>
  <c r="K464" i="1" s="1"/>
  <c r="H464" i="1"/>
  <c r="J463" i="1"/>
  <c r="K463" i="1" s="1"/>
  <c r="K462" i="1"/>
  <c r="H462" i="1"/>
  <c r="K461" i="1"/>
  <c r="H461" i="1"/>
  <c r="I460" i="1"/>
  <c r="I459" i="1" s="1"/>
  <c r="G460" i="1"/>
  <c r="F460" i="1"/>
  <c r="E460" i="1"/>
  <c r="E459" i="1" s="1"/>
  <c r="J457" i="1"/>
  <c r="K457" i="1" s="1"/>
  <c r="H457" i="1"/>
  <c r="I456" i="1"/>
  <c r="I455" i="1" s="1"/>
  <c r="G456" i="1"/>
  <c r="G455" i="1" s="1"/>
  <c r="F456" i="1"/>
  <c r="F455" i="1" s="1"/>
  <c r="E456" i="1"/>
  <c r="E455" i="1" s="1"/>
  <c r="J453" i="1"/>
  <c r="K453" i="1" s="1"/>
  <c r="H453" i="1"/>
  <c r="I452" i="1"/>
  <c r="I451" i="1" s="1"/>
  <c r="G452" i="1"/>
  <c r="F452" i="1"/>
  <c r="F451" i="1" s="1"/>
  <c r="E452" i="1"/>
  <c r="E451" i="1" s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J441" i="1"/>
  <c r="K441" i="1" s="1"/>
  <c r="H441" i="1"/>
  <c r="K440" i="1"/>
  <c r="H440" i="1"/>
  <c r="I439" i="1"/>
  <c r="G439" i="1"/>
  <c r="F439" i="1"/>
  <c r="F437" i="1" s="1"/>
  <c r="E439" i="1"/>
  <c r="I437" i="1"/>
  <c r="G437" i="1"/>
  <c r="K436" i="1"/>
  <c r="H436" i="1"/>
  <c r="K435" i="1"/>
  <c r="H435" i="1"/>
  <c r="K434" i="1"/>
  <c r="H434" i="1"/>
  <c r="K433" i="1"/>
  <c r="H433" i="1"/>
  <c r="J432" i="1"/>
  <c r="K431" i="1"/>
  <c r="H431" i="1"/>
  <c r="K430" i="1"/>
  <c r="H430" i="1"/>
  <c r="G429" i="1"/>
  <c r="F429" i="1"/>
  <c r="K428" i="1"/>
  <c r="K427" i="1"/>
  <c r="J426" i="1"/>
  <c r="G426" i="1"/>
  <c r="F426" i="1"/>
  <c r="J423" i="1"/>
  <c r="K423" i="1" s="1"/>
  <c r="J422" i="1"/>
  <c r="I421" i="1"/>
  <c r="G421" i="1"/>
  <c r="F421" i="1"/>
  <c r="E421" i="1"/>
  <c r="J420" i="1"/>
  <c r="K420" i="1" s="1"/>
  <c r="J419" i="1"/>
  <c r="K419" i="1" s="1"/>
  <c r="J418" i="1"/>
  <c r="J417" i="1"/>
  <c r="J416" i="1"/>
  <c r="K416" i="1" s="1"/>
  <c r="K415" i="1"/>
  <c r="H415" i="1"/>
  <c r="I414" i="1"/>
  <c r="G414" i="1"/>
  <c r="F414" i="1"/>
  <c r="E414" i="1"/>
  <c r="K412" i="1"/>
  <c r="K411" i="1"/>
  <c r="K410" i="1"/>
  <c r="K409" i="1"/>
  <c r="K407" i="1"/>
  <c r="J406" i="1"/>
  <c r="K406" i="1" s="1"/>
  <c r="J405" i="1"/>
  <c r="K405" i="1" s="1"/>
  <c r="J404" i="1"/>
  <c r="K404" i="1" s="1"/>
  <c r="H404" i="1"/>
  <c r="J403" i="1"/>
  <c r="K403" i="1" s="1"/>
  <c r="H403" i="1"/>
  <c r="J402" i="1"/>
  <c r="K402" i="1" s="1"/>
  <c r="H402" i="1"/>
  <c r="J401" i="1"/>
  <c r="K401" i="1" s="1"/>
  <c r="H401" i="1"/>
  <c r="J400" i="1"/>
  <c r="I399" i="1"/>
  <c r="I398" i="1" s="1"/>
  <c r="G399" i="1"/>
  <c r="F399" i="1"/>
  <c r="F398" i="1" s="1"/>
  <c r="E399" i="1"/>
  <c r="E398" i="1" s="1"/>
  <c r="K396" i="1"/>
  <c r="J395" i="1"/>
  <c r="K395" i="1" s="1"/>
  <c r="J394" i="1"/>
  <c r="K394" i="1" s="1"/>
  <c r="J393" i="1"/>
  <c r="K393" i="1" s="1"/>
  <c r="J392" i="1"/>
  <c r="H392" i="1"/>
  <c r="F392" i="1"/>
  <c r="J391" i="1"/>
  <c r="K391" i="1" s="1"/>
  <c r="J390" i="1"/>
  <c r="K390" i="1" s="1"/>
  <c r="J389" i="1"/>
  <c r="H389" i="1"/>
  <c r="F389" i="1"/>
  <c r="J388" i="1"/>
  <c r="K388" i="1" s="1"/>
  <c r="H388" i="1"/>
  <c r="J387" i="1"/>
  <c r="K387" i="1" s="1"/>
  <c r="H387" i="1"/>
  <c r="J386" i="1"/>
  <c r="H386" i="1"/>
  <c r="J385" i="1"/>
  <c r="K385" i="1" s="1"/>
  <c r="H385" i="1"/>
  <c r="J384" i="1"/>
  <c r="J383" i="1"/>
  <c r="K383" i="1" s="1"/>
  <c r="H383" i="1"/>
  <c r="I382" i="1"/>
  <c r="I381" i="1" s="1"/>
  <c r="G382" i="1"/>
  <c r="E382" i="1"/>
  <c r="E381" i="1" s="1"/>
  <c r="K379" i="1"/>
  <c r="J378" i="1"/>
  <c r="K378" i="1" s="1"/>
  <c r="J377" i="1"/>
  <c r="J376" i="1"/>
  <c r="K376" i="1" s="1"/>
  <c r="H376" i="1"/>
  <c r="K375" i="1"/>
  <c r="H375" i="1"/>
  <c r="K374" i="1"/>
  <c r="H374" i="1"/>
  <c r="K373" i="1"/>
  <c r="H373" i="1"/>
  <c r="I372" i="1"/>
  <c r="I371" i="1" s="1"/>
  <c r="G372" i="1"/>
  <c r="G371" i="1" s="1"/>
  <c r="F372" i="1"/>
  <c r="F371" i="1" s="1"/>
  <c r="E372" i="1"/>
  <c r="E371" i="1" s="1"/>
  <c r="K370" i="1"/>
  <c r="H370" i="1"/>
  <c r="K369" i="1"/>
  <c r="H369" i="1"/>
  <c r="K368" i="1"/>
  <c r="H368" i="1"/>
  <c r="K367" i="1"/>
  <c r="H367" i="1"/>
  <c r="K365" i="1"/>
  <c r="H365" i="1"/>
  <c r="J364" i="1"/>
  <c r="H364" i="1"/>
  <c r="I363" i="1"/>
  <c r="I362" i="1" s="1"/>
  <c r="G363" i="1"/>
  <c r="F363" i="1"/>
  <c r="F362" i="1" s="1"/>
  <c r="E363" i="1"/>
  <c r="E362" i="1" s="1"/>
  <c r="J360" i="1"/>
  <c r="J358" i="1" s="1"/>
  <c r="H359" i="1"/>
  <c r="I358" i="1"/>
  <c r="G358" i="1"/>
  <c r="F358" i="1"/>
  <c r="E358" i="1"/>
  <c r="J356" i="1"/>
  <c r="J355" i="1" s="1"/>
  <c r="I355" i="1"/>
  <c r="I354" i="1" s="1"/>
  <c r="G355" i="1"/>
  <c r="F355" i="1"/>
  <c r="E355" i="1"/>
  <c r="K353" i="1"/>
  <c r="H353" i="1"/>
  <c r="J352" i="1"/>
  <c r="K352" i="1" s="1"/>
  <c r="H352" i="1"/>
  <c r="K351" i="1"/>
  <c r="H351" i="1"/>
  <c r="J350" i="1"/>
  <c r="K350" i="1" s="1"/>
  <c r="H350" i="1"/>
  <c r="I349" i="1"/>
  <c r="G349" i="1"/>
  <c r="F349" i="1"/>
  <c r="E349" i="1"/>
  <c r="J348" i="1"/>
  <c r="K348" i="1" s="1"/>
  <c r="H348" i="1"/>
  <c r="J347" i="1"/>
  <c r="K347" i="1" s="1"/>
  <c r="H347" i="1"/>
  <c r="J346" i="1"/>
  <c r="K346" i="1" s="1"/>
  <c r="H346" i="1"/>
  <c r="J345" i="1"/>
  <c r="H345" i="1"/>
  <c r="K344" i="1"/>
  <c r="H344" i="1"/>
  <c r="I343" i="1"/>
  <c r="I342" i="1" s="1"/>
  <c r="G343" i="1"/>
  <c r="F343" i="1"/>
  <c r="E343" i="1"/>
  <c r="K341" i="1"/>
  <c r="H341" i="1"/>
  <c r="J340" i="1"/>
  <c r="K339" i="1"/>
  <c r="J338" i="1"/>
  <c r="K338" i="1" s="1"/>
  <c r="H338" i="1"/>
  <c r="J337" i="1"/>
  <c r="K337" i="1" s="1"/>
  <c r="H337" i="1"/>
  <c r="J336" i="1"/>
  <c r="H336" i="1"/>
  <c r="I335" i="1"/>
  <c r="G335" i="1"/>
  <c r="F335" i="1"/>
  <c r="E335" i="1"/>
  <c r="J334" i="1"/>
  <c r="K334" i="1" s="1"/>
  <c r="K333" i="1"/>
  <c r="H333" i="1"/>
  <c r="J332" i="1"/>
  <c r="K332" i="1" s="1"/>
  <c r="H332" i="1"/>
  <c r="K331" i="1"/>
  <c r="H331" i="1"/>
  <c r="K330" i="1"/>
  <c r="H330" i="1"/>
  <c r="J329" i="1"/>
  <c r="H329" i="1"/>
  <c r="I328" i="1"/>
  <c r="G328" i="1"/>
  <c r="F328" i="1"/>
  <c r="E328" i="1"/>
  <c r="J325" i="1"/>
  <c r="J324" i="1" s="1"/>
  <c r="J323" i="1" s="1"/>
  <c r="H325" i="1"/>
  <c r="I324" i="1"/>
  <c r="G324" i="1"/>
  <c r="G323" i="1" s="1"/>
  <c r="H323" i="1" s="1"/>
  <c r="F324" i="1"/>
  <c r="F323" i="1" s="1"/>
  <c r="I323" i="1"/>
  <c r="J321" i="1"/>
  <c r="H321" i="1"/>
  <c r="I320" i="1"/>
  <c r="I319" i="1" s="1"/>
  <c r="G320" i="1"/>
  <c r="F320" i="1"/>
  <c r="F319" i="1" s="1"/>
  <c r="E320" i="1"/>
  <c r="E319" i="1" s="1"/>
  <c r="K318" i="1"/>
  <c r="H318" i="1"/>
  <c r="K317" i="1"/>
  <c r="H317" i="1"/>
  <c r="K316" i="1"/>
  <c r="H316" i="1"/>
  <c r="K315" i="1"/>
  <c r="H315" i="1"/>
  <c r="J313" i="1"/>
  <c r="K313" i="1" s="1"/>
  <c r="J312" i="1"/>
  <c r="I311" i="1"/>
  <c r="I310" i="1" s="1"/>
  <c r="G311" i="1"/>
  <c r="G310" i="1" s="1"/>
  <c r="F311" i="1"/>
  <c r="F310" i="1" s="1"/>
  <c r="E311" i="1"/>
  <c r="E310" i="1" s="1"/>
  <c r="J308" i="1"/>
  <c r="K308" i="1" s="1"/>
  <c r="H308" i="1"/>
  <c r="I307" i="1"/>
  <c r="I306" i="1" s="1"/>
  <c r="G307" i="1"/>
  <c r="G306" i="1" s="1"/>
  <c r="F307" i="1"/>
  <c r="F306" i="1" s="1"/>
  <c r="E307" i="1"/>
  <c r="E306" i="1" s="1"/>
  <c r="J305" i="1"/>
  <c r="K305" i="1" s="1"/>
  <c r="I304" i="1"/>
  <c r="I300" i="1" s="1"/>
  <c r="G304" i="1"/>
  <c r="F304" i="1"/>
  <c r="F300" i="1" s="1"/>
  <c r="E304" i="1"/>
  <c r="E300" i="1" s="1"/>
  <c r="K303" i="1"/>
  <c r="K302" i="1"/>
  <c r="G301" i="1"/>
  <c r="J298" i="1"/>
  <c r="K298" i="1" s="1"/>
  <c r="H298" i="1"/>
  <c r="I297" i="1"/>
  <c r="I296" i="1" s="1"/>
  <c r="G297" i="1"/>
  <c r="F297" i="1"/>
  <c r="F296" i="1" s="1"/>
  <c r="E297" i="1"/>
  <c r="E296" i="1" s="1"/>
  <c r="G296" i="1"/>
  <c r="J293" i="1"/>
  <c r="K293" i="1" s="1"/>
  <c r="H293" i="1"/>
  <c r="J292" i="1"/>
  <c r="K292" i="1" s="1"/>
  <c r="H292" i="1"/>
  <c r="I291" i="1"/>
  <c r="I290" i="1" s="1"/>
  <c r="G291" i="1"/>
  <c r="F291" i="1"/>
  <c r="F290" i="1" s="1"/>
  <c r="E291" i="1"/>
  <c r="E290" i="1" s="1"/>
  <c r="J288" i="1"/>
  <c r="K288" i="1" s="1"/>
  <c r="H288" i="1"/>
  <c r="J287" i="1"/>
  <c r="K287" i="1" s="1"/>
  <c r="H287" i="1"/>
  <c r="J286" i="1"/>
  <c r="K286" i="1" s="1"/>
  <c r="H286" i="1"/>
  <c r="I285" i="1"/>
  <c r="I284" i="1" s="1"/>
  <c r="I283" i="1" s="1"/>
  <c r="G285" i="1"/>
  <c r="F285" i="1"/>
  <c r="F284" i="1" s="1"/>
  <c r="E285" i="1"/>
  <c r="E284" i="1" s="1"/>
  <c r="G284" i="1"/>
  <c r="J281" i="1"/>
  <c r="J280" i="1"/>
  <c r="K280" i="1" s="1"/>
  <c r="G279" i="1"/>
  <c r="G278" i="1" s="1"/>
  <c r="G277" i="1" s="1"/>
  <c r="F279" i="1"/>
  <c r="F278" i="1" s="1"/>
  <c r="F277" i="1" s="1"/>
  <c r="J275" i="1"/>
  <c r="J274" i="1" s="1"/>
  <c r="H275" i="1"/>
  <c r="I274" i="1"/>
  <c r="G274" i="1"/>
  <c r="F274" i="1"/>
  <c r="F273" i="1" s="1"/>
  <c r="F272" i="1" s="1"/>
  <c r="E274" i="1"/>
  <c r="E273" i="1" s="1"/>
  <c r="E272" i="1" s="1"/>
  <c r="I273" i="1"/>
  <c r="I272" i="1" s="1"/>
  <c r="K271" i="1"/>
  <c r="H271" i="1"/>
  <c r="J270" i="1"/>
  <c r="K270" i="1" s="1"/>
  <c r="H270" i="1"/>
  <c r="J269" i="1"/>
  <c r="K269" i="1" s="1"/>
  <c r="H269" i="1"/>
  <c r="J268" i="1"/>
  <c r="K268" i="1" s="1"/>
  <c r="H268" i="1"/>
  <c r="J267" i="1"/>
  <c r="K267" i="1" s="1"/>
  <c r="H267" i="1"/>
  <c r="J266" i="1"/>
  <c r="K266" i="1" s="1"/>
  <c r="H266" i="1"/>
  <c r="J265" i="1"/>
  <c r="K265" i="1" s="1"/>
  <c r="H265" i="1"/>
  <c r="I264" i="1"/>
  <c r="G264" i="1"/>
  <c r="F264" i="1"/>
  <c r="E264" i="1"/>
  <c r="K263" i="1"/>
  <c r="H263" i="1"/>
  <c r="K262" i="1"/>
  <c r="H262" i="1"/>
  <c r="J261" i="1"/>
  <c r="K261" i="1" s="1"/>
  <c r="J260" i="1"/>
  <c r="K260" i="1" s="1"/>
  <c r="H260" i="1"/>
  <c r="J259" i="1"/>
  <c r="K259" i="1" s="1"/>
  <c r="H259" i="1"/>
  <c r="J258" i="1"/>
  <c r="K258" i="1" s="1"/>
  <c r="H258" i="1"/>
  <c r="J257" i="1"/>
  <c r="K257" i="1" s="1"/>
  <c r="H257" i="1"/>
  <c r="J256" i="1"/>
  <c r="K256" i="1" s="1"/>
  <c r="J255" i="1"/>
  <c r="K255" i="1" s="1"/>
  <c r="H255" i="1"/>
  <c r="J254" i="1"/>
  <c r="K254" i="1" s="1"/>
  <c r="H254" i="1"/>
  <c r="J253" i="1"/>
  <c r="K253" i="1" s="1"/>
  <c r="H253" i="1"/>
  <c r="J252" i="1"/>
  <c r="K252" i="1" s="1"/>
  <c r="H252" i="1"/>
  <c r="J251" i="1"/>
  <c r="H251" i="1"/>
  <c r="J250" i="1"/>
  <c r="K250" i="1" s="1"/>
  <c r="H250" i="1"/>
  <c r="J249" i="1"/>
  <c r="K249" i="1" s="1"/>
  <c r="H249" i="1"/>
  <c r="J248" i="1"/>
  <c r="K248" i="1" s="1"/>
  <c r="H248" i="1"/>
  <c r="J247" i="1"/>
  <c r="K247" i="1" s="1"/>
  <c r="H247" i="1"/>
  <c r="J246" i="1"/>
  <c r="K246" i="1" s="1"/>
  <c r="H246" i="1"/>
  <c r="J245" i="1"/>
  <c r="H245" i="1"/>
  <c r="J244" i="1"/>
  <c r="K244" i="1" s="1"/>
  <c r="H244" i="1"/>
  <c r="K243" i="1"/>
  <c r="H243" i="1"/>
  <c r="I242" i="1"/>
  <c r="G242" i="1"/>
  <c r="F242" i="1"/>
  <c r="E242" i="1"/>
  <c r="J239" i="1"/>
  <c r="K239" i="1" s="1"/>
  <c r="H239" i="1"/>
  <c r="I238" i="1"/>
  <c r="I237" i="1" s="1"/>
  <c r="G238" i="1"/>
  <c r="F238" i="1"/>
  <c r="F237" i="1" s="1"/>
  <c r="E238" i="1"/>
  <c r="E237" i="1" s="1"/>
  <c r="J235" i="1"/>
  <c r="K235" i="1" s="1"/>
  <c r="I234" i="1"/>
  <c r="I233" i="1" s="1"/>
  <c r="G234" i="1"/>
  <c r="G233" i="1" s="1"/>
  <c r="F234" i="1"/>
  <c r="F233" i="1" s="1"/>
  <c r="E234" i="1"/>
  <c r="E233" i="1" s="1"/>
  <c r="J231" i="1"/>
  <c r="K231" i="1" s="1"/>
  <c r="H231" i="1"/>
  <c r="J230" i="1"/>
  <c r="H230" i="1"/>
  <c r="I229" i="1"/>
  <c r="I228" i="1" s="1"/>
  <c r="G229" i="1"/>
  <c r="F229" i="1"/>
  <c r="F228" i="1" s="1"/>
  <c r="E229" i="1"/>
  <c r="E228" i="1" s="1"/>
  <c r="J226" i="1"/>
  <c r="K226" i="1" s="1"/>
  <c r="H226" i="1"/>
  <c r="J225" i="1"/>
  <c r="H225" i="1"/>
  <c r="I224" i="1"/>
  <c r="I223" i="1" s="1"/>
  <c r="G224" i="1"/>
  <c r="F224" i="1"/>
  <c r="F223" i="1" s="1"/>
  <c r="E224" i="1"/>
  <c r="E223" i="1" s="1"/>
  <c r="J222" i="1"/>
  <c r="J221" i="1"/>
  <c r="I220" i="1"/>
  <c r="G220" i="1"/>
  <c r="F220" i="1"/>
  <c r="E220" i="1"/>
  <c r="J219" i="1"/>
  <c r="J218" i="1"/>
  <c r="J217" i="1"/>
  <c r="J216" i="1"/>
  <c r="K216" i="1" s="1"/>
  <c r="H216" i="1"/>
  <c r="K215" i="1"/>
  <c r="J214" i="1"/>
  <c r="K214" i="1" s="1"/>
  <c r="H214" i="1"/>
  <c r="K213" i="1"/>
  <c r="J212" i="1"/>
  <c r="K212" i="1" s="1"/>
  <c r="H212" i="1"/>
  <c r="J211" i="1"/>
  <c r="K211" i="1" s="1"/>
  <c r="H211" i="1"/>
  <c r="K210" i="1"/>
  <c r="H210" i="1"/>
  <c r="K209" i="1"/>
  <c r="K208" i="1"/>
  <c r="K207" i="1"/>
  <c r="I206" i="1"/>
  <c r="I205" i="1" s="1"/>
  <c r="G206" i="1"/>
  <c r="F206" i="1"/>
  <c r="E206" i="1"/>
  <c r="J203" i="1"/>
  <c r="H203" i="1"/>
  <c r="J202" i="1"/>
  <c r="K202" i="1" s="1"/>
  <c r="H202" i="1"/>
  <c r="I201" i="1"/>
  <c r="G201" i="1"/>
  <c r="G200" i="1" s="1"/>
  <c r="F201" i="1"/>
  <c r="F200" i="1" s="1"/>
  <c r="E201" i="1"/>
  <c r="E200" i="1" s="1"/>
  <c r="I200" i="1"/>
  <c r="K197" i="1"/>
  <c r="H197" i="1"/>
  <c r="K196" i="1"/>
  <c r="H196" i="1"/>
  <c r="J195" i="1"/>
  <c r="K195" i="1" s="1"/>
  <c r="H195" i="1"/>
  <c r="K194" i="1"/>
  <c r="H194" i="1"/>
  <c r="I193" i="1"/>
  <c r="I192" i="1" s="1"/>
  <c r="G193" i="1"/>
  <c r="G192" i="1" s="1"/>
  <c r="F193" i="1"/>
  <c r="F192" i="1" s="1"/>
  <c r="E193" i="1"/>
  <c r="E192" i="1" s="1"/>
  <c r="K191" i="1"/>
  <c r="H191" i="1"/>
  <c r="K190" i="1"/>
  <c r="H190" i="1"/>
  <c r="K189" i="1"/>
  <c r="H189" i="1"/>
  <c r="K188" i="1"/>
  <c r="H188" i="1"/>
  <c r="K187" i="1"/>
  <c r="H187" i="1"/>
  <c r="G186" i="1"/>
  <c r="H186" i="1" s="1"/>
  <c r="F186" i="1"/>
  <c r="K186" i="1" s="1"/>
  <c r="K185" i="1"/>
  <c r="H185" i="1"/>
  <c r="K184" i="1"/>
  <c r="H184" i="1"/>
  <c r="K183" i="1"/>
  <c r="H183" i="1"/>
  <c r="J182" i="1"/>
  <c r="I182" i="1"/>
  <c r="I181" i="1" s="1"/>
  <c r="G182" i="1"/>
  <c r="G181" i="1" s="1"/>
  <c r="F182" i="1"/>
  <c r="F181" i="1" s="1"/>
  <c r="E182" i="1"/>
  <c r="E181" i="1" s="1"/>
  <c r="K179" i="1"/>
  <c r="H179" i="1"/>
  <c r="J178" i="1"/>
  <c r="F178" i="1"/>
  <c r="J177" i="1"/>
  <c r="K177" i="1" s="1"/>
  <c r="H177" i="1"/>
  <c r="I176" i="1"/>
  <c r="I175" i="1" s="1"/>
  <c r="I174" i="1" s="1"/>
  <c r="G176" i="1"/>
  <c r="F176" i="1"/>
  <c r="E176" i="1"/>
  <c r="E175" i="1" s="1"/>
  <c r="E174" i="1" s="1"/>
  <c r="G175" i="1"/>
  <c r="K173" i="1"/>
  <c r="H173" i="1"/>
  <c r="K172" i="1"/>
  <c r="H172" i="1"/>
  <c r="K171" i="1"/>
  <c r="H171" i="1"/>
  <c r="K170" i="1"/>
  <c r="H170" i="1"/>
  <c r="K168" i="1"/>
  <c r="H168" i="1"/>
  <c r="J167" i="1"/>
  <c r="K167" i="1" s="1"/>
  <c r="H167" i="1"/>
  <c r="K166" i="1"/>
  <c r="H166" i="1"/>
  <c r="J165" i="1"/>
  <c r="K165" i="1" s="1"/>
  <c r="H165" i="1"/>
  <c r="J164" i="1"/>
  <c r="K164" i="1" s="1"/>
  <c r="H164" i="1"/>
  <c r="I163" i="1"/>
  <c r="I162" i="1" s="1"/>
  <c r="G163" i="1"/>
  <c r="G162" i="1" s="1"/>
  <c r="F163" i="1"/>
  <c r="F162" i="1" s="1"/>
  <c r="E163" i="1"/>
  <c r="E162" i="1" s="1"/>
  <c r="J160" i="1"/>
  <c r="H160" i="1"/>
  <c r="I159" i="1"/>
  <c r="I158" i="1" s="1"/>
  <c r="G159" i="1"/>
  <c r="F159" i="1"/>
  <c r="F158" i="1" s="1"/>
  <c r="E159" i="1"/>
  <c r="E158" i="1" s="1"/>
  <c r="J156" i="1"/>
  <c r="K156" i="1" s="1"/>
  <c r="H156" i="1"/>
  <c r="J155" i="1"/>
  <c r="K155" i="1" s="1"/>
  <c r="H155" i="1"/>
  <c r="J154" i="1"/>
  <c r="K154" i="1" s="1"/>
  <c r="H154" i="1"/>
  <c r="I153" i="1"/>
  <c r="I152" i="1" s="1"/>
  <c r="G153" i="1"/>
  <c r="G152" i="1" s="1"/>
  <c r="F153" i="1"/>
  <c r="F152" i="1" s="1"/>
  <c r="E153" i="1"/>
  <c r="E152" i="1" s="1"/>
  <c r="J150" i="1"/>
  <c r="H150" i="1"/>
  <c r="J149" i="1"/>
  <c r="H149" i="1"/>
  <c r="I148" i="1"/>
  <c r="G148" i="1"/>
  <c r="F148" i="1"/>
  <c r="E148" i="1"/>
  <c r="J147" i="1"/>
  <c r="K147" i="1" s="1"/>
  <c r="H147" i="1"/>
  <c r="J146" i="1"/>
  <c r="K146" i="1" s="1"/>
  <c r="H146" i="1"/>
  <c r="J145" i="1"/>
  <c r="H145" i="1"/>
  <c r="J144" i="1"/>
  <c r="K144" i="1" s="1"/>
  <c r="H144" i="1"/>
  <c r="I143" i="1"/>
  <c r="G143" i="1"/>
  <c r="F143" i="1"/>
  <c r="E143" i="1"/>
  <c r="J139" i="1"/>
  <c r="J138" i="1" s="1"/>
  <c r="H139" i="1"/>
  <c r="I138" i="1"/>
  <c r="I137" i="1" s="1"/>
  <c r="G138" i="1"/>
  <c r="F138" i="1"/>
  <c r="F137" i="1" s="1"/>
  <c r="E138" i="1"/>
  <c r="E137" i="1" s="1"/>
  <c r="G137" i="1"/>
  <c r="K135" i="1"/>
  <c r="H135" i="1"/>
  <c r="J134" i="1"/>
  <c r="H134" i="1"/>
  <c r="K133" i="1"/>
  <c r="H133" i="1"/>
  <c r="K132" i="1"/>
  <c r="H132" i="1"/>
  <c r="I131" i="1"/>
  <c r="I130" i="1" s="1"/>
  <c r="G131" i="1"/>
  <c r="F131" i="1"/>
  <c r="F130" i="1" s="1"/>
  <c r="E131" i="1"/>
  <c r="E130" i="1" s="1"/>
  <c r="J127" i="1"/>
  <c r="K127" i="1" s="1"/>
  <c r="H127" i="1"/>
  <c r="I126" i="1"/>
  <c r="H126" i="1"/>
  <c r="J125" i="1"/>
  <c r="K125" i="1" s="1"/>
  <c r="H125" i="1"/>
  <c r="G124" i="1"/>
  <c r="F124" i="1"/>
  <c r="F123" i="1" s="1"/>
  <c r="E124" i="1"/>
  <c r="E123" i="1" s="1"/>
  <c r="K122" i="1"/>
  <c r="H122" i="1"/>
  <c r="K121" i="1"/>
  <c r="H121" i="1"/>
  <c r="K120" i="1"/>
  <c r="H120" i="1"/>
  <c r="K119" i="1"/>
  <c r="H119" i="1"/>
  <c r="J118" i="1"/>
  <c r="K118" i="1" s="1"/>
  <c r="H118" i="1"/>
  <c r="J117" i="1"/>
  <c r="H117" i="1"/>
  <c r="G116" i="1"/>
  <c r="J116" i="1" s="1"/>
  <c r="F116" i="1"/>
  <c r="F109" i="1" s="1"/>
  <c r="J115" i="1"/>
  <c r="K115" i="1" s="1"/>
  <c r="H115" i="1"/>
  <c r="J114" i="1"/>
  <c r="J113" i="1"/>
  <c r="K113" i="1" s="1"/>
  <c r="H113" i="1"/>
  <c r="J112" i="1"/>
  <c r="K112" i="1" s="1"/>
  <c r="J111" i="1"/>
  <c r="K111" i="1" s="1"/>
  <c r="J110" i="1"/>
  <c r="K110" i="1" s="1"/>
  <c r="I109" i="1"/>
  <c r="E109" i="1"/>
  <c r="J108" i="1"/>
  <c r="K108" i="1" s="1"/>
  <c r="J107" i="1"/>
  <c r="K107" i="1" s="1"/>
  <c r="J106" i="1"/>
  <c r="K106" i="1" s="1"/>
  <c r="H106" i="1"/>
  <c r="J105" i="1"/>
  <c r="K105" i="1" s="1"/>
  <c r="J104" i="1"/>
  <c r="H104" i="1"/>
  <c r="I103" i="1"/>
  <c r="G103" i="1"/>
  <c r="F103" i="1"/>
  <c r="E103" i="1"/>
  <c r="K100" i="1"/>
  <c r="H100" i="1"/>
  <c r="J99" i="1"/>
  <c r="K99" i="1" s="1"/>
  <c r="H99" i="1"/>
  <c r="I98" i="1"/>
  <c r="I97" i="1" s="1"/>
  <c r="G98" i="1"/>
  <c r="G97" i="1" s="1"/>
  <c r="F98" i="1"/>
  <c r="F97" i="1" s="1"/>
  <c r="E98" i="1"/>
  <c r="E97" i="1" s="1"/>
  <c r="K95" i="1"/>
  <c r="H95" i="1"/>
  <c r="K94" i="1"/>
  <c r="H94" i="1"/>
  <c r="J93" i="1"/>
  <c r="H93" i="1"/>
  <c r="K92" i="1"/>
  <c r="H92" i="1"/>
  <c r="K91" i="1"/>
  <c r="H91" i="1"/>
  <c r="I90" i="1"/>
  <c r="I89" i="1" s="1"/>
  <c r="G90" i="1"/>
  <c r="F90" i="1"/>
  <c r="F89" i="1" s="1"/>
  <c r="E90" i="1"/>
  <c r="E89" i="1" s="1"/>
  <c r="J88" i="1"/>
  <c r="K88" i="1" s="1"/>
  <c r="J87" i="1"/>
  <c r="K87" i="1" s="1"/>
  <c r="H87" i="1"/>
  <c r="J86" i="1"/>
  <c r="K86" i="1" s="1"/>
  <c r="K85" i="1"/>
  <c r="H85" i="1"/>
  <c r="I84" i="1"/>
  <c r="G84" i="1"/>
  <c r="F84" i="1"/>
  <c r="E84" i="1"/>
  <c r="K83" i="1"/>
  <c r="H83" i="1"/>
  <c r="J82" i="1"/>
  <c r="I82" i="1"/>
  <c r="G82" i="1"/>
  <c r="F82" i="1"/>
  <c r="E82" i="1"/>
  <c r="J80" i="1"/>
  <c r="J78" i="1" s="1"/>
  <c r="H80" i="1"/>
  <c r="K79" i="1"/>
  <c r="H79" i="1"/>
  <c r="I78" i="1"/>
  <c r="G78" i="1"/>
  <c r="F78" i="1"/>
  <c r="E78" i="1"/>
  <c r="K77" i="1"/>
  <c r="H77" i="1"/>
  <c r="K76" i="1"/>
  <c r="H76" i="1"/>
  <c r="J75" i="1"/>
  <c r="K75" i="1" s="1"/>
  <c r="H75" i="1"/>
  <c r="J74" i="1"/>
  <c r="K74" i="1" s="1"/>
  <c r="J73" i="1"/>
  <c r="K73" i="1" s="1"/>
  <c r="H73" i="1"/>
  <c r="K72" i="1"/>
  <c r="H72" i="1"/>
  <c r="K71" i="1"/>
  <c r="H71" i="1"/>
  <c r="J70" i="1"/>
  <c r="H70" i="1"/>
  <c r="I69" i="1"/>
  <c r="G69" i="1"/>
  <c r="F69" i="1"/>
  <c r="E69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J59" i="1"/>
  <c r="J58" i="1"/>
  <c r="K58" i="1" s="1"/>
  <c r="I57" i="1"/>
  <c r="G57" i="1"/>
  <c r="F57" i="1"/>
  <c r="E57" i="1"/>
  <c r="J56" i="1"/>
  <c r="K56" i="1" s="1"/>
  <c r="J55" i="1"/>
  <c r="K55" i="1" s="1"/>
  <c r="K54" i="1"/>
  <c r="I53" i="1"/>
  <c r="G53" i="1"/>
  <c r="F53" i="1"/>
  <c r="F52" i="1" s="1"/>
  <c r="F51" i="1" s="1"/>
  <c r="E53" i="1"/>
  <c r="J49" i="1"/>
  <c r="J48" i="1" s="1"/>
  <c r="K48" i="1" s="1"/>
  <c r="H49" i="1"/>
  <c r="I48" i="1"/>
  <c r="I47" i="1" s="1"/>
  <c r="I46" i="1" s="1"/>
  <c r="G48" i="1"/>
  <c r="F48" i="1"/>
  <c r="F47" i="1" s="1"/>
  <c r="F46" i="1" s="1"/>
  <c r="E48" i="1"/>
  <c r="E47" i="1" s="1"/>
  <c r="E46" i="1" s="1"/>
  <c r="G47" i="1"/>
  <c r="J44" i="1"/>
  <c r="K44" i="1" s="1"/>
  <c r="H44" i="1"/>
  <c r="J43" i="1"/>
  <c r="K43" i="1" s="1"/>
  <c r="H43" i="1"/>
  <c r="I42" i="1"/>
  <c r="I41" i="1" s="1"/>
  <c r="I40" i="1" s="1"/>
  <c r="G42" i="1"/>
  <c r="F42" i="1"/>
  <c r="F41" i="1" s="1"/>
  <c r="F40" i="1" s="1"/>
  <c r="E42" i="1"/>
  <c r="E41" i="1" s="1"/>
  <c r="E40" i="1" s="1"/>
  <c r="J38" i="1"/>
  <c r="K38" i="1" s="1"/>
  <c r="K37" i="1"/>
  <c r="H37" i="1"/>
  <c r="J36" i="1"/>
  <c r="H36" i="1"/>
  <c r="F36" i="1"/>
  <c r="F34" i="1" s="1"/>
  <c r="F33" i="1" s="1"/>
  <c r="K35" i="1"/>
  <c r="H35" i="1"/>
  <c r="I34" i="1"/>
  <c r="I33" i="1" s="1"/>
  <c r="G34" i="1"/>
  <c r="G33" i="1" s="1"/>
  <c r="E34" i="1"/>
  <c r="K32" i="1"/>
  <c r="H32" i="1"/>
  <c r="F31" i="1"/>
  <c r="K30" i="1"/>
  <c r="H30" i="1"/>
  <c r="K29" i="1"/>
  <c r="H29" i="1"/>
  <c r="K28" i="1"/>
  <c r="H28" i="1"/>
  <c r="J27" i="1"/>
  <c r="J26" i="1" s="1"/>
  <c r="H27" i="1"/>
  <c r="I26" i="1"/>
  <c r="I25" i="1" s="1"/>
  <c r="G26" i="1"/>
  <c r="G25" i="1" s="1"/>
  <c r="F26" i="1"/>
  <c r="E26" i="1"/>
  <c r="E25" i="1" s="1"/>
  <c r="J23" i="1"/>
  <c r="K23" i="1" s="1"/>
  <c r="J22" i="1"/>
  <c r="K22" i="1" s="1"/>
  <c r="J21" i="1"/>
  <c r="K21" i="1" s="1"/>
  <c r="H21" i="1"/>
  <c r="J20" i="1"/>
  <c r="K20" i="1" s="1"/>
  <c r="H20" i="1"/>
  <c r="K19" i="1"/>
  <c r="H19" i="1"/>
  <c r="I18" i="1"/>
  <c r="I17" i="1" s="1"/>
  <c r="G18" i="1"/>
  <c r="G17" i="1" s="1"/>
  <c r="F18" i="1"/>
  <c r="F17" i="1" s="1"/>
  <c r="E18" i="1"/>
  <c r="E17" i="1" s="1"/>
  <c r="K16" i="1"/>
  <c r="H16" i="1"/>
  <c r="F15" i="1"/>
  <c r="J14" i="1"/>
  <c r="K14" i="1" s="1"/>
  <c r="H14" i="1"/>
  <c r="G13" i="1"/>
  <c r="H13" i="1" s="1"/>
  <c r="J12" i="1"/>
  <c r="H12" i="1"/>
  <c r="I11" i="1"/>
  <c r="F11" i="1"/>
  <c r="E11" i="1"/>
  <c r="H274" i="1" l="1"/>
  <c r="F1038" i="2"/>
  <c r="F1037" i="2" s="1"/>
  <c r="F433" i="2"/>
  <c r="F432" i="2" s="1"/>
  <c r="F168" i="2"/>
  <c r="F167" i="2" s="1"/>
  <c r="F215" i="2"/>
  <c r="F214" i="2" s="1"/>
  <c r="G273" i="1"/>
  <c r="F416" i="2"/>
  <c r="F415" i="2" s="1"/>
  <c r="F575" i="2"/>
  <c r="F574" i="2" s="1"/>
  <c r="G1058" i="2"/>
  <c r="F998" i="2"/>
  <c r="F997" i="2" s="1"/>
  <c r="F494" i="2"/>
  <c r="F493" i="2" s="1"/>
  <c r="F867" i="2"/>
  <c r="F866" i="2" s="1"/>
  <c r="G8" i="2"/>
  <c r="F339" i="2"/>
  <c r="F338" i="2" s="1"/>
  <c r="F706" i="2"/>
  <c r="F705" i="2" s="1"/>
  <c r="G780" i="2"/>
  <c r="E205" i="1"/>
  <c r="H8" i="2"/>
  <c r="H1161" i="2" s="1"/>
  <c r="J13" i="1"/>
  <c r="K13" i="1" s="1"/>
  <c r="G658" i="2"/>
  <c r="F68" i="1"/>
  <c r="G354" i="1"/>
  <c r="H553" i="1"/>
  <c r="I8" i="2"/>
  <c r="I1161" i="2" s="1"/>
  <c r="F186" i="2"/>
  <c r="H976" i="2"/>
  <c r="F750" i="2"/>
  <c r="G792" i="14"/>
  <c r="H792" i="14" s="1"/>
  <c r="F151" i="2"/>
  <c r="F150" i="2" s="1"/>
  <c r="H1058" i="2"/>
  <c r="F303" i="2"/>
  <c r="F302" i="2" s="1"/>
  <c r="H90" i="1"/>
  <c r="H206" i="1"/>
  <c r="E354" i="1"/>
  <c r="J575" i="1"/>
  <c r="J574" i="1" s="1"/>
  <c r="K574" i="1" s="1"/>
  <c r="F233" i="2"/>
  <c r="F232" i="2" s="1"/>
  <c r="J8" i="2"/>
  <c r="J1161" i="2" s="1"/>
  <c r="F277" i="2"/>
  <c r="I1058" i="2"/>
  <c r="F979" i="2"/>
  <c r="F978" i="2" s="1"/>
  <c r="F976" i="2" s="1"/>
  <c r="F129" i="1"/>
  <c r="F541" i="2"/>
  <c r="F540" i="2" s="1"/>
  <c r="F123" i="2"/>
  <c r="H1273" i="14"/>
  <c r="G1272" i="14"/>
  <c r="H1272" i="14" s="1"/>
  <c r="H2653" i="14"/>
  <c r="G2530" i="14"/>
  <c r="H2530" i="14" s="1"/>
  <c r="F1058" i="2"/>
  <c r="G1161" i="2"/>
  <c r="F720" i="2"/>
  <c r="F658" i="2" s="1"/>
  <c r="F515" i="2"/>
  <c r="F514" i="2" s="1"/>
  <c r="F8" i="2" s="1"/>
  <c r="F780" i="2"/>
  <c r="F599" i="2"/>
  <c r="F598" i="2" s="1"/>
  <c r="F180" i="1"/>
  <c r="F354" i="1"/>
  <c r="F25" i="1"/>
  <c r="F9" i="1" s="1"/>
  <c r="E327" i="1"/>
  <c r="H439" i="1"/>
  <c r="F459" i="1"/>
  <c r="H335" i="1"/>
  <c r="F10" i="1"/>
  <c r="E488" i="1"/>
  <c r="E469" i="1" s="1"/>
  <c r="H580" i="1"/>
  <c r="J193" i="1"/>
  <c r="K193" i="1" s="1"/>
  <c r="F81" i="1"/>
  <c r="F551" i="1"/>
  <c r="I52" i="1"/>
  <c r="I51" i="1" s="1"/>
  <c r="J34" i="1"/>
  <c r="K34" i="1" s="1"/>
  <c r="H48" i="1"/>
  <c r="G89" i="1"/>
  <c r="H89" i="1" s="1"/>
  <c r="G109" i="1"/>
  <c r="G102" i="1" s="1"/>
  <c r="J176" i="1"/>
  <c r="K176" i="1" s="1"/>
  <c r="I413" i="1"/>
  <c r="I361" i="1" s="1"/>
  <c r="G425" i="1"/>
  <c r="I488" i="1"/>
  <c r="I469" i="1" s="1"/>
  <c r="G52" i="1"/>
  <c r="G51" i="1" s="1"/>
  <c r="H349" i="1"/>
  <c r="J616" i="1"/>
  <c r="G11" i="1"/>
  <c r="H11" i="1" s="1"/>
  <c r="K26" i="1"/>
  <c r="H98" i="1"/>
  <c r="J206" i="1"/>
  <c r="J279" i="1"/>
  <c r="K279" i="1" s="1"/>
  <c r="H285" i="1"/>
  <c r="J354" i="1"/>
  <c r="J456" i="1"/>
  <c r="K456" i="1" s="1"/>
  <c r="K511" i="1"/>
  <c r="H579" i="1"/>
  <c r="K49" i="1"/>
  <c r="K139" i="1"/>
  <c r="H176" i="1"/>
  <c r="H201" i="1"/>
  <c r="J297" i="1"/>
  <c r="J307" i="1"/>
  <c r="J306" i="1" s="1"/>
  <c r="K306" i="1" s="1"/>
  <c r="H324" i="1"/>
  <c r="F488" i="1"/>
  <c r="K544" i="1"/>
  <c r="H138" i="1"/>
  <c r="F175" i="1"/>
  <c r="F174" i="1" s="1"/>
  <c r="H193" i="1"/>
  <c r="F205" i="1"/>
  <c r="E241" i="1"/>
  <c r="E199" i="1" s="1"/>
  <c r="H296" i="1"/>
  <c r="J471" i="1"/>
  <c r="K471" i="1" s="1"/>
  <c r="H489" i="1"/>
  <c r="K596" i="1"/>
  <c r="I151" i="1"/>
  <c r="K27" i="1"/>
  <c r="H143" i="1"/>
  <c r="G205" i="1"/>
  <c r="H205" i="1" s="1"/>
  <c r="K323" i="1"/>
  <c r="J372" i="1"/>
  <c r="K372" i="1" s="1"/>
  <c r="H456" i="1"/>
  <c r="J560" i="1"/>
  <c r="J559" i="1" s="1"/>
  <c r="K559" i="1" s="1"/>
  <c r="H608" i="1"/>
  <c r="H18" i="1"/>
  <c r="I180" i="1"/>
  <c r="E437" i="1"/>
  <c r="E424" i="1" s="1"/>
  <c r="I142" i="1"/>
  <c r="I141" i="1" s="1"/>
  <c r="H224" i="1"/>
  <c r="H297" i="1"/>
  <c r="F327" i="1"/>
  <c r="K392" i="1"/>
  <c r="J439" i="1"/>
  <c r="K439" i="1" s="1"/>
  <c r="J621" i="1"/>
  <c r="K621" i="1" s="1"/>
  <c r="H162" i="1"/>
  <c r="E180" i="1"/>
  <c r="F413" i="1"/>
  <c r="J587" i="1"/>
  <c r="J586" i="1" s="1"/>
  <c r="K586" i="1" s="1"/>
  <c r="H25" i="1"/>
  <c r="H34" i="1"/>
  <c r="J57" i="1"/>
  <c r="K57" i="1" s="1"/>
  <c r="E68" i="1"/>
  <c r="I81" i="1"/>
  <c r="H163" i="1"/>
  <c r="H182" i="1"/>
  <c r="H229" i="1"/>
  <c r="F283" i="1"/>
  <c r="J285" i="1"/>
  <c r="K285" i="1" s="1"/>
  <c r="H306" i="1"/>
  <c r="K307" i="1"/>
  <c r="K325" i="1"/>
  <c r="J335" i="1"/>
  <c r="H372" i="1"/>
  <c r="H455" i="1"/>
  <c r="K564" i="1"/>
  <c r="J593" i="1"/>
  <c r="E102" i="1"/>
  <c r="K116" i="1"/>
  <c r="I129" i="1"/>
  <c r="F151" i="1"/>
  <c r="I241" i="1"/>
  <c r="I199" i="1" s="1"/>
  <c r="H307" i="1"/>
  <c r="I551" i="1"/>
  <c r="H560" i="1"/>
  <c r="I569" i="1"/>
  <c r="H587" i="1"/>
  <c r="H596" i="1"/>
  <c r="H609" i="1"/>
  <c r="H192" i="1"/>
  <c r="I424" i="1"/>
  <c r="K36" i="1"/>
  <c r="G68" i="1"/>
  <c r="H97" i="1"/>
  <c r="E129" i="1"/>
  <c r="E142" i="1"/>
  <c r="E141" i="1" s="1"/>
  <c r="K150" i="1"/>
  <c r="H153" i="1"/>
  <c r="J163" i="1"/>
  <c r="K163" i="1" s="1"/>
  <c r="J220" i="1"/>
  <c r="F241" i="1"/>
  <c r="G300" i="1"/>
  <c r="E342" i="1"/>
  <c r="E295" i="1" s="1"/>
  <c r="J349" i="1"/>
  <c r="K349" i="1" s="1"/>
  <c r="K389" i="1"/>
  <c r="G516" i="1"/>
  <c r="H516" i="1" s="1"/>
  <c r="F533" i="1"/>
  <c r="I603" i="1"/>
  <c r="H616" i="1"/>
  <c r="H621" i="1"/>
  <c r="F603" i="1"/>
  <c r="J605" i="1"/>
  <c r="J604" i="1" s="1"/>
  <c r="J571" i="1"/>
  <c r="J570" i="1" s="1"/>
  <c r="K570" i="1" s="1"/>
  <c r="H522" i="1"/>
  <c r="G488" i="1"/>
  <c r="H460" i="1"/>
  <c r="F425" i="1"/>
  <c r="G413" i="1"/>
  <c r="E413" i="1"/>
  <c r="J399" i="1"/>
  <c r="J398" i="1" s="1"/>
  <c r="K398" i="1" s="1"/>
  <c r="H382" i="1"/>
  <c r="G381" i="1"/>
  <c r="H381" i="1" s="1"/>
  <c r="K377" i="1"/>
  <c r="E361" i="1"/>
  <c r="H371" i="1"/>
  <c r="F342" i="1"/>
  <c r="K336" i="1"/>
  <c r="I327" i="1"/>
  <c r="I295" i="1" s="1"/>
  <c r="J304" i="1"/>
  <c r="J300" i="1" s="1"/>
  <c r="K300" i="1" s="1"/>
  <c r="K281" i="1"/>
  <c r="K275" i="1"/>
  <c r="I635" i="1"/>
  <c r="H242" i="1"/>
  <c r="J242" i="1"/>
  <c r="K242" i="1" s="1"/>
  <c r="J234" i="1"/>
  <c r="J233" i="1" s="1"/>
  <c r="K233" i="1" s="1"/>
  <c r="K182" i="1"/>
  <c r="J153" i="1"/>
  <c r="J152" i="1" s="1"/>
  <c r="F142" i="1"/>
  <c r="F141" i="1" s="1"/>
  <c r="H103" i="1"/>
  <c r="F102" i="1"/>
  <c r="I102" i="1"/>
  <c r="G81" i="1"/>
  <c r="H84" i="1"/>
  <c r="K59" i="1"/>
  <c r="E52" i="1"/>
  <c r="E51" i="1" s="1"/>
  <c r="H17" i="1"/>
  <c r="K78" i="1"/>
  <c r="J42" i="1"/>
  <c r="K12" i="1"/>
  <c r="J11" i="1"/>
  <c r="J18" i="1"/>
  <c r="H26" i="1"/>
  <c r="E33" i="1"/>
  <c r="H33" i="1" s="1"/>
  <c r="J47" i="1"/>
  <c r="H69" i="1"/>
  <c r="K70" i="1"/>
  <c r="J69" i="1"/>
  <c r="E635" i="1"/>
  <c r="H124" i="1"/>
  <c r="G123" i="1"/>
  <c r="H123" i="1" s="1"/>
  <c r="K149" i="1"/>
  <c r="J148" i="1"/>
  <c r="K148" i="1" s="1"/>
  <c r="H175" i="1"/>
  <c r="G174" i="1"/>
  <c r="H174" i="1" s="1"/>
  <c r="K234" i="1"/>
  <c r="J25" i="1"/>
  <c r="H200" i="1"/>
  <c r="E632" i="1"/>
  <c r="E10" i="1"/>
  <c r="I10" i="1"/>
  <c r="I9" i="1" s="1"/>
  <c r="H42" i="1"/>
  <c r="G41" i="1"/>
  <c r="J53" i="1"/>
  <c r="K53" i="1" s="1"/>
  <c r="I68" i="1"/>
  <c r="K80" i="1"/>
  <c r="K114" i="1"/>
  <c r="J109" i="1"/>
  <c r="K145" i="1"/>
  <c r="J143" i="1"/>
  <c r="H148" i="1"/>
  <c r="G142" i="1"/>
  <c r="K153" i="1"/>
  <c r="K225" i="1"/>
  <c r="J224" i="1"/>
  <c r="H47" i="1"/>
  <c r="G46" i="1"/>
  <c r="H46" i="1" s="1"/>
  <c r="H78" i="1"/>
  <c r="E81" i="1"/>
  <c r="J90" i="1"/>
  <c r="K93" i="1"/>
  <c r="K104" i="1"/>
  <c r="J103" i="1"/>
  <c r="K103" i="1" s="1"/>
  <c r="H152" i="1"/>
  <c r="J201" i="1"/>
  <c r="K203" i="1"/>
  <c r="F635" i="1"/>
  <c r="J84" i="1"/>
  <c r="J98" i="1"/>
  <c r="H116" i="1"/>
  <c r="H131" i="1"/>
  <c r="G130" i="1"/>
  <c r="K134" i="1"/>
  <c r="J131" i="1"/>
  <c r="H137" i="1"/>
  <c r="K138" i="1"/>
  <c r="J137" i="1"/>
  <c r="K137" i="1" s="1"/>
  <c r="E151" i="1"/>
  <c r="H181" i="1"/>
  <c r="G180" i="1"/>
  <c r="K230" i="1"/>
  <c r="J229" i="1"/>
  <c r="H238" i="1"/>
  <c r="G237" i="1"/>
  <c r="H237" i="1" s="1"/>
  <c r="H273" i="1"/>
  <c r="E283" i="1"/>
  <c r="H284" i="1"/>
  <c r="H291" i="1"/>
  <c r="G290" i="1"/>
  <c r="H290" i="1" s="1"/>
  <c r="K206" i="1"/>
  <c r="G241" i="1"/>
  <c r="H264" i="1"/>
  <c r="J311" i="1"/>
  <c r="K312" i="1"/>
  <c r="I124" i="1"/>
  <c r="I123" i="1" s="1"/>
  <c r="J126" i="1"/>
  <c r="K126" i="1" s="1"/>
  <c r="H159" i="1"/>
  <c r="G158" i="1"/>
  <c r="H158" i="1" s="1"/>
  <c r="K160" i="1"/>
  <c r="J159" i="1"/>
  <c r="K274" i="1"/>
  <c r="J273" i="1"/>
  <c r="K297" i="1"/>
  <c r="J296" i="1"/>
  <c r="K335" i="1"/>
  <c r="K345" i="1"/>
  <c r="J343" i="1"/>
  <c r="H363" i="1"/>
  <c r="G362" i="1"/>
  <c r="K364" i="1"/>
  <c r="J363" i="1"/>
  <c r="J421" i="1"/>
  <c r="K422" i="1"/>
  <c r="J429" i="1"/>
  <c r="K432" i="1"/>
  <c r="H564" i="1"/>
  <c r="E563" i="1"/>
  <c r="H563" i="1" s="1"/>
  <c r="H320" i="1"/>
  <c r="G319" i="1"/>
  <c r="H319" i="1" s="1"/>
  <c r="K321" i="1"/>
  <c r="J320" i="1"/>
  <c r="F382" i="1"/>
  <c r="F381" i="1" s="1"/>
  <c r="H399" i="1"/>
  <c r="G398" i="1"/>
  <c r="H398" i="1" s="1"/>
  <c r="K418" i="1"/>
  <c r="J414" i="1"/>
  <c r="K414" i="1" s="1"/>
  <c r="K324" i="1"/>
  <c r="H343" i="1"/>
  <c r="G342" i="1"/>
  <c r="H452" i="1"/>
  <c r="G451" i="1"/>
  <c r="H451" i="1" s="1"/>
  <c r="K525" i="1"/>
  <c r="J522" i="1"/>
  <c r="J175" i="1"/>
  <c r="J181" i="1"/>
  <c r="G223" i="1"/>
  <c r="H223" i="1" s="1"/>
  <c r="G228" i="1"/>
  <c r="H228" i="1" s="1"/>
  <c r="J238" i="1"/>
  <c r="J264" i="1"/>
  <c r="K264" i="1" s="1"/>
  <c r="G272" i="1"/>
  <c r="H272" i="1" s="1"/>
  <c r="J291" i="1"/>
  <c r="H328" i="1"/>
  <c r="G327" i="1"/>
  <c r="H327" i="1" s="1"/>
  <c r="K329" i="1"/>
  <c r="J328" i="1"/>
  <c r="J382" i="1"/>
  <c r="K386" i="1"/>
  <c r="J460" i="1"/>
  <c r="J470" i="1"/>
  <c r="H476" i="1"/>
  <c r="G475" i="1"/>
  <c r="H475" i="1" s="1"/>
  <c r="J504" i="1"/>
  <c r="K504" i="1" s="1"/>
  <c r="K508" i="1"/>
  <c r="I509" i="1"/>
  <c r="H534" i="1"/>
  <c r="E533" i="1"/>
  <c r="H533" i="1" s="1"/>
  <c r="K553" i="1"/>
  <c r="J552" i="1"/>
  <c r="J579" i="1"/>
  <c r="K579" i="1" s="1"/>
  <c r="K582" i="1"/>
  <c r="H593" i="1"/>
  <c r="G592" i="1"/>
  <c r="H592" i="1" s="1"/>
  <c r="E603" i="1"/>
  <c r="J620" i="1"/>
  <c r="F469" i="1"/>
  <c r="J476" i="1"/>
  <c r="K483" i="1"/>
  <c r="H511" i="1"/>
  <c r="E510" i="1"/>
  <c r="K518" i="1"/>
  <c r="J517" i="1"/>
  <c r="K537" i="1"/>
  <c r="J534" i="1"/>
  <c r="K560" i="1"/>
  <c r="E569" i="1"/>
  <c r="K616" i="1"/>
  <c r="J615" i="1"/>
  <c r="K615" i="1" s="1"/>
  <c r="J452" i="1"/>
  <c r="G459" i="1"/>
  <c r="H459" i="1" s="1"/>
  <c r="H471" i="1"/>
  <c r="J489" i="1"/>
  <c r="H488" i="1"/>
  <c r="F509" i="1"/>
  <c r="F569" i="1"/>
  <c r="H575" i="1"/>
  <c r="G574" i="1"/>
  <c r="J609" i="1"/>
  <c r="G470" i="1"/>
  <c r="J510" i="1"/>
  <c r="G521" i="1"/>
  <c r="H521" i="1" s="1"/>
  <c r="K545" i="1"/>
  <c r="G552" i="1"/>
  <c r="G559" i="1"/>
  <c r="H559" i="1" s="1"/>
  <c r="J563" i="1"/>
  <c r="K563" i="1" s="1"/>
  <c r="J580" i="1"/>
  <c r="K580" i="1" s="1"/>
  <c r="G586" i="1"/>
  <c r="H586" i="1" s="1"/>
  <c r="G615" i="1"/>
  <c r="H615" i="1" s="1"/>
  <c r="G620" i="1"/>
  <c r="J33" i="1" l="1"/>
  <c r="K33" i="1" s="1"/>
  <c r="K25" i="1"/>
  <c r="K575" i="1"/>
  <c r="H102" i="1"/>
  <c r="F1161" i="2"/>
  <c r="G2805" i="14"/>
  <c r="H2805" i="14" s="1"/>
  <c r="J205" i="1"/>
  <c r="J371" i="1"/>
  <c r="K371" i="1" s="1"/>
  <c r="H109" i="1"/>
  <c r="F424" i="1"/>
  <c r="J455" i="1"/>
  <c r="K455" i="1" s="1"/>
  <c r="J192" i="1"/>
  <c r="K192" i="1" s="1"/>
  <c r="J162" i="1"/>
  <c r="K162" i="1" s="1"/>
  <c r="E67" i="1"/>
  <c r="G632" i="1"/>
  <c r="F67" i="1"/>
  <c r="J278" i="1"/>
  <c r="K278" i="1" s="1"/>
  <c r="G10" i="1"/>
  <c r="H241" i="1"/>
  <c r="G635" i="1"/>
  <c r="G638" i="1" s="1"/>
  <c r="H638" i="1" s="1"/>
  <c r="H68" i="1"/>
  <c r="F295" i="1"/>
  <c r="K587" i="1"/>
  <c r="J437" i="1"/>
  <c r="K437" i="1" s="1"/>
  <c r="H342" i="1"/>
  <c r="H180" i="1"/>
  <c r="H437" i="1"/>
  <c r="F199" i="1"/>
  <c r="K605" i="1"/>
  <c r="K399" i="1"/>
  <c r="K205" i="1"/>
  <c r="J284" i="1"/>
  <c r="K284" i="1" s="1"/>
  <c r="J592" i="1"/>
  <c r="K592" i="1" s="1"/>
  <c r="K593" i="1"/>
  <c r="E551" i="1"/>
  <c r="K571" i="1"/>
  <c r="F361" i="1"/>
  <c r="J124" i="1"/>
  <c r="J632" i="1" s="1"/>
  <c r="G509" i="1"/>
  <c r="K304" i="1"/>
  <c r="J277" i="1"/>
  <c r="K277" i="1" s="1"/>
  <c r="J241" i="1"/>
  <c r="K241" i="1" s="1"/>
  <c r="J635" i="1"/>
  <c r="K635" i="1" s="1"/>
  <c r="I67" i="1"/>
  <c r="I630" i="1" s="1"/>
  <c r="E9" i="1"/>
  <c r="E509" i="1"/>
  <c r="H510" i="1"/>
  <c r="K291" i="1"/>
  <c r="J290" i="1"/>
  <c r="K290" i="1" s="1"/>
  <c r="H470" i="1"/>
  <c r="G469" i="1"/>
  <c r="H469" i="1" s="1"/>
  <c r="J451" i="1"/>
  <c r="K451" i="1" s="1"/>
  <c r="K452" i="1"/>
  <c r="K620" i="1"/>
  <c r="J619" i="1"/>
  <c r="K619" i="1" s="1"/>
  <c r="K609" i="1"/>
  <c r="J608" i="1"/>
  <c r="K608" i="1" s="1"/>
  <c r="K489" i="1"/>
  <c r="J488" i="1"/>
  <c r="K488" i="1" s="1"/>
  <c r="J516" i="1"/>
  <c r="K516" i="1" s="1"/>
  <c r="K517" i="1"/>
  <c r="K552" i="1"/>
  <c r="J551" i="1"/>
  <c r="K551" i="1" s="1"/>
  <c r="K460" i="1"/>
  <c r="J459" i="1"/>
  <c r="K459" i="1" s="1"/>
  <c r="K382" i="1"/>
  <c r="J381" i="1"/>
  <c r="K381" i="1" s="1"/>
  <c r="K421" i="1"/>
  <c r="J413" i="1"/>
  <c r="K413" i="1" s="1"/>
  <c r="K296" i="1"/>
  <c r="J158" i="1"/>
  <c r="K158" i="1" s="1"/>
  <c r="K159" i="1"/>
  <c r="K311" i="1"/>
  <c r="J310" i="1"/>
  <c r="K310" i="1" s="1"/>
  <c r="K229" i="1"/>
  <c r="J228" i="1"/>
  <c r="K228" i="1" s="1"/>
  <c r="F632" i="1"/>
  <c r="K152" i="1"/>
  <c r="K143" i="1"/>
  <c r="J142" i="1"/>
  <c r="G40" i="1"/>
  <c r="H40" i="1" s="1"/>
  <c r="H41" i="1"/>
  <c r="I632" i="1"/>
  <c r="G199" i="1"/>
  <c r="H199" i="1" s="1"/>
  <c r="K69" i="1"/>
  <c r="J68" i="1"/>
  <c r="K47" i="1"/>
  <c r="J46" i="1"/>
  <c r="K46" i="1" s="1"/>
  <c r="K11" i="1"/>
  <c r="J10" i="1"/>
  <c r="G67" i="1"/>
  <c r="H67" i="1" s="1"/>
  <c r="K510" i="1"/>
  <c r="K175" i="1"/>
  <c r="J174" i="1"/>
  <c r="K174" i="1" s="1"/>
  <c r="G424" i="1"/>
  <c r="H424" i="1" s="1"/>
  <c r="G283" i="1"/>
  <c r="H283" i="1" s="1"/>
  <c r="K320" i="1"/>
  <c r="J319" i="1"/>
  <c r="K319" i="1" s="1"/>
  <c r="G603" i="1"/>
  <c r="H603" i="1" s="1"/>
  <c r="H362" i="1"/>
  <c r="G361" i="1"/>
  <c r="H361" i="1" s="1"/>
  <c r="K131" i="1"/>
  <c r="J130" i="1"/>
  <c r="H620" i="1"/>
  <c r="G619" i="1"/>
  <c r="H619" i="1" s="1"/>
  <c r="H574" i="1"/>
  <c r="G569" i="1"/>
  <c r="H569" i="1" s="1"/>
  <c r="K476" i="1"/>
  <c r="J475" i="1"/>
  <c r="K475" i="1" s="1"/>
  <c r="K181" i="1"/>
  <c r="J180" i="1"/>
  <c r="K180" i="1" s="1"/>
  <c r="K522" i="1"/>
  <c r="J521" i="1"/>
  <c r="K521" i="1" s="1"/>
  <c r="K429" i="1"/>
  <c r="J425" i="1"/>
  <c r="K363" i="1"/>
  <c r="J362" i="1"/>
  <c r="J342" i="1"/>
  <c r="K342" i="1" s="1"/>
  <c r="K343" i="1"/>
  <c r="G295" i="1"/>
  <c r="H295" i="1" s="1"/>
  <c r="G129" i="1"/>
  <c r="H129" i="1" s="1"/>
  <c r="H130" i="1"/>
  <c r="J97" i="1"/>
  <c r="K97" i="1" s="1"/>
  <c r="K98" i="1"/>
  <c r="G151" i="1"/>
  <c r="H151" i="1" s="1"/>
  <c r="J52" i="1"/>
  <c r="H632" i="1"/>
  <c r="K328" i="1"/>
  <c r="J327" i="1"/>
  <c r="K327" i="1" s="1"/>
  <c r="J81" i="1"/>
  <c r="K81" i="1" s="1"/>
  <c r="K84" i="1"/>
  <c r="K201" i="1"/>
  <c r="J200" i="1"/>
  <c r="K90" i="1"/>
  <c r="J89" i="1"/>
  <c r="K89" i="1" s="1"/>
  <c r="K224" i="1"/>
  <c r="J223" i="1"/>
  <c r="K223" i="1" s="1"/>
  <c r="H142" i="1"/>
  <c r="G141" i="1"/>
  <c r="H141" i="1" s="1"/>
  <c r="J102" i="1"/>
  <c r="K102" i="1" s="1"/>
  <c r="K109" i="1"/>
  <c r="J41" i="1"/>
  <c r="K42" i="1"/>
  <c r="K534" i="1"/>
  <c r="J533" i="1"/>
  <c r="K533" i="1" s="1"/>
  <c r="K604" i="1"/>
  <c r="K470" i="1"/>
  <c r="K238" i="1"/>
  <c r="J237" i="1"/>
  <c r="K237" i="1" s="1"/>
  <c r="K273" i="1"/>
  <c r="J272" i="1"/>
  <c r="K272" i="1" s="1"/>
  <c r="H552" i="1"/>
  <c r="G551" i="1"/>
  <c r="H551" i="1" s="1"/>
  <c r="G9" i="1"/>
  <c r="H10" i="1"/>
  <c r="K18" i="1"/>
  <c r="J17" i="1"/>
  <c r="K17" i="1" s="1"/>
  <c r="H81" i="1"/>
  <c r="G2822" i="14" l="1"/>
  <c r="G2823" i="14" s="1"/>
  <c r="H635" i="1"/>
  <c r="J123" i="1"/>
  <c r="K123" i="1" s="1"/>
  <c r="F630" i="1"/>
  <c r="J151" i="1"/>
  <c r="K151" i="1" s="1"/>
  <c r="J569" i="1"/>
  <c r="K569" i="1" s="1"/>
  <c r="K124" i="1"/>
  <c r="J603" i="1"/>
  <c r="K603" i="1" s="1"/>
  <c r="H509" i="1"/>
  <c r="E630" i="1"/>
  <c r="K632" i="1"/>
  <c r="J295" i="1"/>
  <c r="K295" i="1" s="1"/>
  <c r="K362" i="1"/>
  <c r="J361" i="1"/>
  <c r="K361" i="1" s="1"/>
  <c r="K130" i="1"/>
  <c r="J129" i="1"/>
  <c r="K129" i="1" s="1"/>
  <c r="J509" i="1"/>
  <c r="K509" i="1" s="1"/>
  <c r="J67" i="1"/>
  <c r="K67" i="1" s="1"/>
  <c r="K68" i="1"/>
  <c r="K41" i="1"/>
  <c r="J40" i="1"/>
  <c r="K40" i="1" s="1"/>
  <c r="K52" i="1"/>
  <c r="J51" i="1"/>
  <c r="K51" i="1" s="1"/>
  <c r="G630" i="1"/>
  <c r="H9" i="1"/>
  <c r="J469" i="1"/>
  <c r="K469" i="1" s="1"/>
  <c r="K425" i="1"/>
  <c r="J424" i="1"/>
  <c r="K424" i="1" s="1"/>
  <c r="K142" i="1"/>
  <c r="J141" i="1"/>
  <c r="K141" i="1" s="1"/>
  <c r="F638" i="1"/>
  <c r="K200" i="1"/>
  <c r="J199" i="1"/>
  <c r="K199" i="1" s="1"/>
  <c r="J283" i="1"/>
  <c r="K283" i="1" s="1"/>
  <c r="J9" i="1"/>
  <c r="K10" i="1"/>
  <c r="J630" i="1" l="1"/>
  <c r="K630" i="1" s="1"/>
  <c r="K9" i="1"/>
  <c r="H630" i="1"/>
</calcChain>
</file>

<file path=xl/sharedStrings.xml><?xml version="1.0" encoding="utf-8"?>
<sst xmlns="http://schemas.openxmlformats.org/spreadsheetml/2006/main" count="7324" uniqueCount="1465">
  <si>
    <t>(według działów, rozdziałów, paragrafów klasyfikacji budżetowej oraz źródeł pochodzenia i rodzajów dochodów)</t>
  </si>
  <si>
    <t>w złotych</t>
  </si>
  <si>
    <t>Dział</t>
  </si>
  <si>
    <t>Rozdz.</t>
  </si>
  <si>
    <t>Źródło pochodzenia</t>
  </si>
  <si>
    <t>Paragraf</t>
  </si>
  <si>
    <t>Plan wg uchwały budżetowej Sejmiku na 2022 r.</t>
  </si>
  <si>
    <t>Plan dochodów na 2022r. wg stanu na 31.08.2022r. - przewidywane wykonanie dochodów w 2022r.</t>
  </si>
  <si>
    <t>Prognozowana kwota na 2023r.</t>
  </si>
  <si>
    <t>% 
 (7:5)</t>
  </si>
  <si>
    <t>Zmiany</t>
  </si>
  <si>
    <t>% zmiana planu (6:5)</t>
  </si>
  <si>
    <t>Uwagi</t>
  </si>
  <si>
    <t>1.</t>
  </si>
  <si>
    <t>2.</t>
  </si>
  <si>
    <t>3.</t>
  </si>
  <si>
    <t>4.</t>
  </si>
  <si>
    <t>5.</t>
  </si>
  <si>
    <t>7.</t>
  </si>
  <si>
    <t>8.</t>
  </si>
  <si>
    <t>9.</t>
  </si>
  <si>
    <t>010</t>
  </si>
  <si>
    <t>ROLNICTWO I ŁOWIECTWO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</si>
  <si>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</si>
  <si>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</si>
  <si>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</si>
  <si>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</si>
  <si>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</si>
  <si>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</si>
  <si>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0970</t>
  </si>
  <si>
    <t>b) dochody majątkowe</t>
  </si>
  <si>
    <t xml:space="preserve">Dochody realizowane przez Podkarpackie Biuro Geodezji 
i Terenów Rolnych w Rzeszowie 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</si>
  <si>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</si>
  <si>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</si>
  <si>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</si>
  <si>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</si>
  <si>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</si>
  <si>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</si>
  <si>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</si>
  <si>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Zwrot części dotacji wykorzystanych niezgodnie z przeznaczeniem, pobranych nienależnie lub w nadmiernej wysokości przez Partnera Krajowego Sekretariatu Obszarów Wiejskich</t>
  </si>
  <si>
    <t>01042</t>
  </si>
  <si>
    <t>Wyłączenie z produkcji gruntów rolnych</t>
  </si>
  <si>
    <t>Wpływy z tytułu opłat za wyłączenie z produkcji gruntów rolnych</t>
  </si>
  <si>
    <t>0690</t>
  </si>
  <si>
    <t>Odsetki od zwrotu części dotacji wykorzystanej niezgodnie z przeznaczeniem na modernizację dróg dojazdowych do gruntów rolnych</t>
  </si>
  <si>
    <t>0920</t>
  </si>
  <si>
    <t>Zwrot części dotacji wykorzystanej niezgodnie z przeznaczeniem na modernizację dróg dojazdowych do gruntów rolnych</t>
  </si>
  <si>
    <t>2910</t>
  </si>
  <si>
    <t>Zwrot cześci dotacji pobranej w nadmiernej wysokości na budowę i modernizację dróg dojazdowych do gruntów rolnych</t>
  </si>
  <si>
    <t>01095</t>
  </si>
  <si>
    <t>Pozostała działalność</t>
  </si>
  <si>
    <t>Zwrot wypłaconego na rzecz osoby fizycznej odszkodowania za szkody łowieckie wyrządzone w uprawach i płodach rolnych przez zwierzęta łowne na obszarach niewchodzących w skład obwodów łowieckich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</si>
  <si>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</si>
  <si>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</si>
  <si>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</si>
  <si>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</si>
  <si>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</si>
  <si>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</si>
  <si>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</si>
  <si>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</si>
  <si>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</si>
  <si>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</si>
  <si>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</si>
  <si>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</si>
  <si>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</si>
  <si>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</si>
  <si>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</si>
  <si>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</si>
  <si>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</si>
  <si>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</si>
  <si>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Zwrot części dotacji wykorzystanych niezgodnie z przeznaczeniem, pobranych nienależnie lub w nadmiernej wysokości przez beneficjentów projektów realizowanych w ramach Programu Operacyjnego Kapitał Ludzki</t>
  </si>
  <si>
    <t xml:space="preserve">Zwrot części niewykorzystanych dotacji przez beneficjentów projektów realizowanych w ramach Regionalnego Programu Operacyjnego Województwa Podkarpackiego na lata 2014-2020 </t>
  </si>
  <si>
    <t>b) dochody majątkowe, w tym: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</si>
  <si>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</si>
  <si>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</si>
  <si>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>15013</t>
  </si>
  <si>
    <t>Rozwój kadr nowoczesnej gospodarki i przedsiębiorczości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</si>
  <si>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</si>
  <si>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0900</t>
  </si>
  <si>
    <t>Wpływy ze zwrotów dotacji oraz płatności wykorzystanych niezgodnie z przeznaczeniem lub wykorzystanych z naruszeniem procedur, o których mowa w art. 184 ustawy, pobranych nienależnie lub w nadmiernej wysokości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</si>
  <si>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</si>
  <si>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>Wpływy ze zwrotów dotacji oraz płatności wykorzystanych niezgodnie z przeznaczeniem lub wykorzystanych z naruszeniem procedur, o których mowa w art. 184 ustawy, pobranych nienależnie lub w nadmiernej wysokości, dotyczące dochodów majątkowych</t>
  </si>
  <si>
    <t>TRANSPORT I ŁĄCZNOŚĆ</t>
  </si>
  <si>
    <t>Krajowe pasażerskie przewozy kolejowe</t>
  </si>
  <si>
    <t>Dzierżawa autobusów szynowych</t>
  </si>
  <si>
    <t>Wpływ kar umownych za nieterminową realizację umów dotyczących usług serwisowo – utrzymaniowo – naprawczych pojazdów szynowych oraz za wprowadzenie autobusowej komunikacji zastępczej (zamiast podstawienia pociągów) w miejsce odwołanych z winy operatora pociągów na terenie Województwa Podkarpackiego wraz z odsetkami</t>
  </si>
  <si>
    <t xml:space="preserve">Środki otrzymane z państwowych funduszy celowych na realizację zadań bieżących jednostek sektora finansów publicznych </t>
  </si>
  <si>
    <t>2170</t>
  </si>
  <si>
    <t>Dotacje celowe otrzymane od samorządu województwa na zadania bieżące realizowane na podstawie porozumień (umów) między jednostkami samorządu terytorialnego</t>
  </si>
  <si>
    <t>2330</t>
  </si>
  <si>
    <t>Dotacja celowa otrzymana z tytułu pomocy finansowej udzielanej między jednostkami samorządu terytorialnego na dofinansowanie własnych zadań bieżących</t>
  </si>
  <si>
    <t>2710</t>
  </si>
  <si>
    <t>Zwrot przez operatora kolejowego niewykorzystanej rekompensaty na realizacaję połączeń kolejowych w relacji Rzeszów - Sandomierz - Stalowa Wola</t>
  </si>
  <si>
    <t>2950</t>
  </si>
  <si>
    <t xml:space="preserve">Zwrot przez Województwo Małopolskie niewykorzystanej pomocy finansowej na dofinansowanie zadań związanych z organizacją kolejowych przewozów pasażerskich w relacji Kraków - Jasło i Nowy Sącz - Jasło </t>
  </si>
  <si>
    <t>Środki pochodzące z budżetu Unii Europejskiej na realizację zadania pn.: "Zakup taboru kolejowego do wykonywania przewozów pasażerskich na terenie Województwa Podkarpackiego" - w ramach Regionalnego Programu Operacyjnego Wojewó na lata 2014 - 2020</t>
  </si>
  <si>
    <t xml:space="preserve">Środki otrzymane z państwowych funduszy celowych na finansowanie lub dofinansowanie kosztów realizacji inwestycji i zakupów inwestycyjnych jednostek sektora finansów publicznych </t>
  </si>
  <si>
    <t>Infrastruktura kolejowa</t>
  </si>
  <si>
    <t>a) dochody bieżące</t>
  </si>
  <si>
    <t>Środki pochodzące z budżetu Unii Europejskiej na realizację zadania pn. "Budowa Podmiejskiej Kolei Aglomeracyjnej - PKA: Budowa i modernizacja linii kolejowych oraz infrastruktury przystankowej" w ramach Programu Operacyjnego Infrastruktura i Środowisko na lata 2014 - 2020</t>
  </si>
  <si>
    <t>Środki pochodzące z budżetu Unii Europejskiej na realizację projektu pn. "Budowa Podmiejskiej Kolei Aglomeracyjnej - PKA": Budowa i modernizacja linii kolejowych oraz infrastruktury przystankowej w ramach Programu Operacyjnego Infrastruktura i Środowisko na lata 2014 - 2020</t>
  </si>
  <si>
    <t>Środki pochodzące z budżetu Unii Europejskiej na realizację projektu pn. "Budowa Podmiejskiej Kolei Aglomeracyjnej - PKA": budowa zaplecza technicznego" w ramach Programu Operacyjnego Infrastruktura i Środowisko na lata 2014 - 2020</t>
  </si>
  <si>
    <t>Dotacja celowa otrzymana z tytułu pomocy finansowej udzielanej między jednostkami samorządu terytorialnego na dofinansowanie własnych zadań inwestycyjnych i zakupów inwestycyjnych</t>
  </si>
  <si>
    <t>Krajowe pasażerskie przewozy autobusowe</t>
  </si>
  <si>
    <t>Zwrot opłaty komorniczej związanej z egzekucją należności od przewoźnika autobusowego</t>
  </si>
  <si>
    <t>0630</t>
  </si>
  <si>
    <t>Odsetki od dotacji wykorzystanych niezgodnie z przeznaczeniem dopłat do krajowych autobusowych przewozów pasażerskich z tytułu stosowania w tych przewozach obowiązujących ulg ustawowych</t>
  </si>
  <si>
    <t>Zwrot przez przewoźnika autobusowego dotacji wykorzystanych niezgodnie z przeznaczeniem</t>
  </si>
  <si>
    <t>Zwrot przez Gminę Baranów Sandomierski niewykorzystanej dotacji na sfinansowanie strat z tytułu utraconych przychodów w związku ze stosowaniem ustawowych uprawnień do ulgowych przejazdów w przewozach o charakterze użyteczności publicznej</t>
  </si>
  <si>
    <t>Lokalny transport zbiorowy</t>
  </si>
  <si>
    <t xml:space="preserve">Opłaty za wydawanie zezwoleń na regularny przewóz osób </t>
  </si>
  <si>
    <t>0620</t>
  </si>
  <si>
    <t>2360</t>
  </si>
  <si>
    <t>Drogi publiczne wojewódzkie</t>
  </si>
  <si>
    <t>Dochody realizowane przez Podkarpacki Zarząd Dróg Wojewódzkich w Rzeszowie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</si>
  <si>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</si>
  <si>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</si>
  <si>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</si>
  <si>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Środki pochodzące z budżetu Unii Europejskiej na realizację projektu  własnego pn. "Budowa nowego odcinka drogi wojewódzkiej Nr 992 w miejscowości Jasło" w ramach Programu Współpracy Transgranicznej Interreg V-A Polska - Słowacja na lata 2014 - 2020</t>
  </si>
  <si>
    <t>6208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</si>
  <si>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</si>
  <si>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Środki pochodzące z budżetu Unii Europejskiej na realizację projektu własnego pn. "Rozbudowa drogi wojewódzkiej Nr 867 na odcinku Lubaczów do Basznia Górna" w ramach Programu Współpracy Transgranicznej Polska - Białoruś - Ukraina 2014 - 2020</t>
  </si>
  <si>
    <t>Środki pochodzące z budżetu Unii Europejskiej na realizację inwestycji drogowych w ramach Programu Operacyjnego Polska Wschodnia na lata 2014-2020</t>
  </si>
  <si>
    <t>6257</t>
  </si>
  <si>
    <t>Środki pochodzące z budżetu Unii Europejskiej na realizację projektu własnego pn. "Rozbudowa drogi wojewódzkiej Nr 867 na odcinku Lubaczów do Basznia Górna" w ramach Programu Współpracy Transgranicznej Polska - Białoruś - Ukraina 2014 - 2019</t>
  </si>
  <si>
    <t>6258</t>
  </si>
  <si>
    <t>Środki z państwowych funduszy celowych na finansowanie lub dofinansowanie kosztów realizacji inwestycji i zakupów inwestycyjnych jednostek sektora finansów publicznych</t>
  </si>
  <si>
    <t>Środki otrzymane z Rządowego Funduszu Polski Ład: Program Inwestycji Strategicznych na realizację zadań inwestycyjnych</t>
  </si>
  <si>
    <t>Dotacje celowe otrzymane z budżetu państwa na realizację inwestycji i zakupów inwestycyjnych własnych samorządu województwa</t>
  </si>
  <si>
    <t>Dochody z tytułu opłat za wpis do rejestru przedsiębiorców prowadzących pracownię psychologiczną, opłat za wpis do ewidencji uprawnionych psychologów, opłat za wpis do ewidencji uprawnionych lekarzy wynikających z ustawy o kierujących pojazdami</t>
  </si>
  <si>
    <t>TURYSTYKA</t>
  </si>
  <si>
    <t>Zadania w zakresie upowszechniania turystyki</t>
  </si>
  <si>
    <t>Odsetki od zwrotu części dotacji wykorzystanej niezgodnie z przeznaczeniem, pobranej nienależnie lub w nadmiernej wysokości na realizację zadania z zakresu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</si>
  <si>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</si>
  <si>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>Zwrot części dotacji wykorzystanej niezgodnie z przeznaczeniem, pobranej nienależnie lub w nadmiernej wysokości na realizację zadania z zakresu upowszechniania turystyki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</si>
  <si>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</si>
  <si>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</si>
  <si>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</si>
  <si>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</si>
  <si>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</si>
  <si>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</si>
  <si>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</si>
  <si>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usług (media)</t>
  </si>
  <si>
    <t>Wpływy z tytułu przekształcenia prawa użytkowania wieczystego w prawo własności</t>
  </si>
  <si>
    <t>0760</t>
  </si>
  <si>
    <t>0770</t>
  </si>
  <si>
    <t>Wykaz nieruchomości do sprzedaży:
1) działki okołolotniskowe - 1.000.000,-zł,
2) Przemyśl, ul. Łukasińskiego, nieruchomość oznaczona jako działki ewidencyjne nr 1506 o pow. 0,1277 ha i nr 1512 o pow. 0,1437 ha , zabudowana budynkiem po byłym Kolegium Nauczycielskim im. Fredry w Przemyślu (2.000.000,-zł - 50% bonyfikaty) - 1.100.000,-zł,
3) Krosno ul. Lewakowskiego 7 - lokal użytkowy nr 3 o pow. użytkowej 594,61 m2, z którym związany jest udział wynoszący 59461/90131 w częściach wspólnych budynku oraz w prawie własności do działki ewidencyjnej nr 648/1 o pow. 0,0727 ha oraz 6 działek o pow. 0,0020 ha każda zabudowana budynkiem garazowym - 1.300.000,-zł.</t>
  </si>
  <si>
    <t>DZIAŁALNOŚĆ USŁUGOWA</t>
  </si>
  <si>
    <t>Biura planowania przestrzennego</t>
  </si>
  <si>
    <t xml:space="preserve">Dochody realizowane przez Podkarpackie Biuro Planowania Przestrzennego w Rzeszowie 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</si>
  <si>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</si>
  <si>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</si>
  <si>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</si>
  <si>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</si>
  <si>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0909</t>
  </si>
  <si>
    <t>2210</t>
  </si>
  <si>
    <t>Zwrot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</si>
  <si>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2917</t>
  </si>
  <si>
    <t>INFORMATYKA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</si>
  <si>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</si>
  <si>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Wpływy z tytułu sprzedaży udziału</t>
  </si>
  <si>
    <t>0780</t>
  </si>
  <si>
    <t xml:space="preserve">SZKOLNICTWO WYŻSZE I NAUKA </t>
  </si>
  <si>
    <t>Pomoc materialna dla studentów i doktorantów</t>
  </si>
  <si>
    <t>Odsetki od zwrotu części stypendiów udzielonych w ramach programu pn."Stypendia Marszałka Województwa Podkarpackiego" w 2019 r.</t>
  </si>
  <si>
    <t xml:space="preserve">Zwrot części stypendiów udzielonych w ramach programu pn. „Stypendia Marszałka Województwa Podkarpackiego” w 2021 roku </t>
  </si>
  <si>
    <t>Rozliczenia środków ewidencjonowanych do 2018 r. w działach "730 - Nauka" i "803 - Szkolnictwo wyższe"</t>
  </si>
  <si>
    <t>Odsetki od zwrotów części stypendiów udzielonych w ramach projektu pn. "Podkarpacki fundusz stypendialny dla doktorantów" w ramach Programu Operacyjnego Kapitał Ludzki</t>
  </si>
  <si>
    <t>0929</t>
  </si>
  <si>
    <t>Zwrot części stypendiów udzielonych w ramach projektu pn. "Podkarpacki fundusz stypendialny dla doktorantów" w ramach Programu Operacyjnego Kapitał Ludzki</t>
  </si>
  <si>
    <t>0947</t>
  </si>
  <si>
    <t>0949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</si>
  <si>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</si>
  <si>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</si>
  <si>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</si>
  <si>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</si>
  <si>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Zwrot części niewykorzystanej dotacji na organizację wydarzeń popularyzujących naukę</t>
  </si>
  <si>
    <t>ADMINISTRACJA PUBLICZNA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</si>
  <si>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</si>
  <si>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</si>
  <si>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</si>
  <si>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0640</t>
  </si>
  <si>
    <t>Środki pochodzące z budżetu Unii Europejskiej na realizację projektu pn. „Poprawa dostępności do usług publicznych w Urzędzie Marszałkowskim Województwa Podkarpackiego w Rzeszowie" w ramach Programu Operacyjnego Wiedza Edukacja Rozwój na lata 2014 - 2020</t>
  </si>
  <si>
    <t>2057</t>
  </si>
  <si>
    <t>Dotacja celowa z budżetu państwa na realizację projektu pn. „Poprawa dostępności do usług publicznych w Urzędzie Marszałkowskim Województwa Podkarpackiego w Rzeszowie" w ramach Programu Operacyjnego Wiedza Edukacja Rozwój na lata 2014 - 2020</t>
  </si>
  <si>
    <t>2059</t>
  </si>
  <si>
    <t>6259</t>
  </si>
  <si>
    <t>Komisje egzaminacyjne</t>
  </si>
  <si>
    <t>Promocja jednostek samorządu terytorialnego</t>
  </si>
  <si>
    <t>Środki pochodzące z budżetu Unii Europejskiej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</si>
  <si>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Dotacja celowa z budżetu państwa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</si>
  <si>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Pomoc zagraniczna</t>
  </si>
  <si>
    <t>Dotacje celowe otrzymane z budżetu państwa na zadania bieżące realizowane przez samorząd województwa na podstawie porozumień z organami administracji rządowej</t>
  </si>
  <si>
    <t>Funkcjonowanie wojewódzkich rad dialogu społecznego</t>
  </si>
  <si>
    <t>Odsetki od zwrotu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</si>
  <si>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</si>
  <si>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</si>
  <si>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</si>
  <si>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</si>
  <si>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 xml:space="preserve">Środki pochodzące z budżetu Unii Europejskiej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</si>
  <si>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</si>
  <si>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</si>
  <si>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</si>
  <si>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</si>
  <si>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</si>
  <si>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 xml:space="preserve">Dotacja celowa z budżetu państwa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</si>
  <si>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pn.: "Funkcjonowanie Oddziału Programu Współpracy Transgranicznej EIS Polska - Białoruś - Ukraina 2014-2020 w Rzeszowie w latach 2022-2023"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</si>
  <si>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</si>
  <si>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</si>
  <si>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</si>
  <si>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otrzymane z tytułu pomocy finansowej udzielanej między jednostkami samorządu terytorialnego na dofinansowanie własnych zadań bieżących</t>
  </si>
  <si>
    <t>Zwrot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</si>
  <si>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`</t>
  </si>
  <si>
    <t>Środki pochodzące z budżetu Unii Europejskiej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</si>
  <si>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'Dotacja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</si>
  <si>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</si>
  <si>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>Zwrot części niewykorzystanych dotacji przez beneficjentów Regionalnego Programu Operacyjnego Województwa Podkarpackiego na lata 2014-2020</t>
  </si>
  <si>
    <t>OBRONA NARODOWA</t>
  </si>
  <si>
    <t>Pozostałe wydatki obronne</t>
  </si>
  <si>
    <t>BEZPIECZEŃSTWO PUBLICZNE I OCHRONA PRZECIPOŻAROWA</t>
  </si>
  <si>
    <t>Zarządzanie kryzysowe</t>
  </si>
  <si>
    <t>Dotacja celowa otrzymana z budżetu państwa na zadania bieżące realizowane przez samorząd województwa na podstawie porozumień z organami administracji rządowej</t>
  </si>
  <si>
    <t>Dotacja celowa otrzymana z gminy na zadania bieżące realizowane na podstawie porozumień (umów) między jednostkami samorządu terytorialnego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</si>
  <si>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</si>
  <si>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</si>
  <si>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</si>
  <si>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</si>
  <si>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wydanie zezwoleń na obrót hurtowy napojami alkoholowymi</t>
  </si>
  <si>
    <t>0480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</si>
  <si>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</si>
  <si>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</si>
  <si>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</si>
  <si>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</si>
  <si>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</si>
  <si>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</si>
  <si>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</si>
  <si>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</si>
  <si>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</si>
  <si>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</si>
  <si>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z rezerwy subwencji ogólnej z przeznaczeniem na dofinansowanie budowy, przebudowy, remontu, utrzymania, ochrony dróg wojewódzkich i zarządzania tymi drogami</t>
  </si>
  <si>
    <t>Subwencje ogólne z budżetu państwa na dofinansowanie budowy, przebudowy, remontu, utrzymania, ochrony dróg wojewódzkich i zarządzania tymi drogami.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</si>
  <si>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</si>
  <si>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</si>
  <si>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</si>
  <si>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 xml:space="preserve">Odsetki od lokat wolnych środków budżetowych oraz od środków na rachunkach bankowych </t>
  </si>
  <si>
    <t xml:space="preserve">Środki otrzymane z Funduszu Pomocy utworzonego w związku z Ustawą z dnia 12 marca 2022 roku o pomocy obywatelom Ukrainy w związku z konfliktem zbrojnym na terytorium tego państwa </t>
  </si>
  <si>
    <t>Wpływy do rozliczenia</t>
  </si>
  <si>
    <t>Środki "Rządowego Funduszu Inwestycji Lokalnych" z przeznczeniem na realizację zadań związanych z przeciwdziałaniem Covid-19.</t>
  </si>
  <si>
    <t>6290</t>
  </si>
  <si>
    <t>Rezerwa subwencji ogólnej dla województw</t>
  </si>
  <si>
    <t>2770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</si>
  <si>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</si>
  <si>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</si>
  <si>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</si>
  <si>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</si>
  <si>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</si>
  <si>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</si>
  <si>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</si>
  <si>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realizowanych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</si>
  <si>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</si>
  <si>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Dotacja celowa z budżetu państwa jako refundacja wydatków poniesionych ze środków własnych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</si>
  <si>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</si>
  <si>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współfinansowanie projektów własnych w ramach Regionalnego Programu Operacyjnego Województwa Podkarpackiego na lata 2014 - 2020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</si>
  <si>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</si>
  <si>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</si>
  <si>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Programy regionalne 2021-2027 finansowane z udziałem środków Europejskiego Funduszu Rozwoju Regionalnego</t>
  </si>
  <si>
    <t>Dotacja celowa z budżetu państwa na finansowanie wydatków objętych Pomocą Techniczną FEP 2021-2027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</si>
  <si>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</si>
  <si>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</si>
  <si>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</si>
  <si>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</si>
  <si>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</si>
  <si>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policealne</t>
  </si>
  <si>
    <t>Dotacja celowa otrzymana z budżetu państwa na realizację bieżących zadań własnych samorządu województwa</t>
  </si>
  <si>
    <t>2230</t>
  </si>
  <si>
    <t>Szkoły zawodowe</t>
  </si>
  <si>
    <t>Środki pochodzące z budżetu Unii Europejskiej na realizację projektu pn. „POPOJUTRZE 2.0 – KSZTAŁCENIE” w ramach Programu Operacyjnego Wiedza Edukacja Rozwój 2014-2020</t>
  </si>
  <si>
    <t>Dotacja celowa z budżetu państwa na realizację projektu pn. „POPOJUTRZE 2.0 – KSZTAŁCENIE” w ramach Programu Operacyjnego Wiedza Edukacja Rozwój 2014-2020</t>
  </si>
  <si>
    <t>Dokształcanie i doskonalenie nauczycieli</t>
  </si>
  <si>
    <t>Dotacja celowa z budżetu państwa na realizację projektu pn. "Zdrowy styl życia - myślimy globalnie działamy lokalnie" w ramach Programu Edukacja Mechanizmu Finansowego Europejskiego Obszaru Gospodarczego na lata 2014-2021</t>
  </si>
  <si>
    <t>2006</t>
  </si>
  <si>
    <t>Środki pochodzące z budżetu Unii Europejskiej na realizację projektu pn. "Zdrowy styl życia - myślimy globalnie działamy lokalnie" w ramach Programu Edukacja Mechanizmu Finansowego Europejskiego Obszaru Gospodarczego na lata 2014-2021</t>
  </si>
  <si>
    <t>Środki pochodzące z budżetu Unii Europejskiej na realizację projektu pn."Rozwijanie kompetencji kadry dydaktycznej w zakresie doradztwa edukacyjno - zawodowego (makroregion IV)" w ramach Programu Operacyjnego Wiedza Edukacja Rozwój na lata 2014 - 2020</t>
  </si>
  <si>
    <t>Środki pochodzące z budżetu Unii Europejskiej na realizację projektu pn."Podkarpacie Uczy Cyfrowo w ramach projektu Lekcja:Enter" w ramach Programu Operacyjnego Polska Cyfrowa na lata 2014-2020</t>
  </si>
  <si>
    <t>Środki pochodzące z budżetu Unii Europejskiej na realizację projektu pn. "Lekcja:Enter - Podkarpacie Uczy Cyfrowo (II)" w ramach Programu Operacyjnego Polska Cyfrowa na lata 2014-2020</t>
  </si>
  <si>
    <t>Środki pochodzące z budżetu Unii Europejskiej na realizację projektu pn. „Zdalny Nauczyciel = Zdalna Szkoła” w ramach Programu Operacyjnego Wiedza Edukacja Rozwój na lata 2014-2020</t>
  </si>
  <si>
    <t>Środki pochodzące z budżetu Unii Europejskiej na realizację projektu pn. :Lekcja:Enter - Podkarpacie Uczy Cyfrowo III"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</si>
  <si>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</si>
  <si>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Dotacja celowa z budżetu państwa na realizację projektu pn. „Zdalny Nauczyciel = Zdalna Szkoła” w ramach Projektu Grantowego pn. „Wsparcie placówek doskonalenia nauczycieli i bibliotek pedagogicznych w realizacji zadań związanych z przygotowaniem i wsparciem nauczycieli w prowadzeniu kształcenia na odległość” w ramach Programu Operacyjnego Wiedza Edukacja Rozwój na lata 2014-2020</t>
  </si>
  <si>
    <t>Dotacja celowa z budżetu państwa na realizację projektu pn. "Lekcja:Enter - Podkarpacie Uczy Cyfrowo III" w ramach Programu Operacyjnego Polska Cyfrowa na lata 2014-2020</t>
  </si>
  <si>
    <t>2220</t>
  </si>
  <si>
    <t>Biblioteki pedagogiczne</t>
  </si>
  <si>
    <t xml:space="preserve">Dochody realizowane przez jednostki oświatowe </t>
  </si>
  <si>
    <t>Środki pochodzące z budżetu Unii Europejskiej na realizację projektu pn. "Zdalnie odważni - cyfrowo pewni" w ramach Programu Operacyjnego Wiedza Edukacja Rozwój 2014-2020</t>
  </si>
  <si>
    <t>Dotacja celowa z budżetu państwa na realizację projektu pn. "Zdalnie odważni - cyfrowo pewni" w ramach Programu Operacyjnego Wiedza Edukacja Rozwój 2014-2020</t>
  </si>
  <si>
    <t>Zapewnienie uczniom prawa do bezpłatnego dostępu do podręczników, materiałów edukacyjnych lub materiałów ćwiczeniowych</t>
  </si>
  <si>
    <t>Zwrot stypendium wypłaconego w okresie od października do grudnia 2021 r. z programu „Nie zagubić talentu”</t>
  </si>
  <si>
    <t>Środki pochodzące z budżetu Unii Europejskiej na realizację projektu pn. "Making personal learning experiences possible and visible also in a digital way - Das PerLen-Konzept" w ramach Programu Erasmus+</t>
  </si>
  <si>
    <t>2051</t>
  </si>
  <si>
    <t xml:space="preserve">Środki otrzymane z Polsko-Litewskiego Funduszu Wymiany Młodzieży oraz od Polsko-Ukraińskiej Rady Wymiany Młodzieży na realizację zadań bieżących </t>
  </si>
  <si>
    <t>2919</t>
  </si>
  <si>
    <t>2959</t>
  </si>
  <si>
    <t>6669</t>
  </si>
  <si>
    <t>6699</t>
  </si>
  <si>
    <t>OCHRONA ZDROWIA</t>
  </si>
  <si>
    <t>Szpitale ogólne</t>
  </si>
  <si>
    <t>Zwrot części niewykorzystanej dotacji przez samodzielne publiczne zakłady opieki zdrowotnej</t>
  </si>
  <si>
    <t>Dotacje celowe otrzymane z budżetu państwa na inwestycje i zakupy inwestycyjne z zakresu administracji rządowej oraz inne zadania zlecone ustawami realizowane przez samorząd województwa</t>
  </si>
  <si>
    <t>Dotacja celowa otrzymana z budżetu państwa na realizację inwestycji i zakupów inwestycyjnych własnych samorządu województwa</t>
  </si>
  <si>
    <t>Zwrot części niewykorzystanej dotacji przez beneficjenta projektu realizowanego w ramach Regionalnego Programu Operacyjnego Województwa Podkarpackiego na lata 2014 - 2020</t>
  </si>
  <si>
    <t>Leczenie sanatoryjno-klimatyczne</t>
  </si>
  <si>
    <t>Dotacje celowe otrzymane z budżetu państwa na inwestycje 
i zakupy inwestycyjne z zakresu administracji rządowej oraz inne zadania zlecone ustawami realizowane przez samorząd województwa</t>
  </si>
  <si>
    <t>Ratownictwo medyczne</t>
  </si>
  <si>
    <t>Dotacja celowa otrzymana z tytułu pomocy finansowej udzielanej między jednostkami samorządu terytorialnego na dofinansowanie własnych zadań inwestycyjnych i zakupów inwestycyjnych</t>
  </si>
  <si>
    <t>Dotacja celowa otrzymana z budżetu państwa na inwestycje i zakupy inwestycyjne z zakresu administracji rządowej oraz inne zadania zlecone ustawami realizowane przez samorząd województwa</t>
  </si>
  <si>
    <t>Medycyna pracy</t>
  </si>
  <si>
    <t>Zwrot części dotacji na zadania realizowane przez samodzielne publiczne zakłady opieki zdrowotnej</t>
  </si>
  <si>
    <t>Zwalczanie narkomanii</t>
  </si>
  <si>
    <t xml:space="preserve">Odsetki od dotacji wykorzystanych niezgodnie z przeznaczeniem, pobranych nienależnie lub w nadmiernej wysokości na realizację zadań z zakresu przeciwdziałania narkomanii </t>
  </si>
  <si>
    <t>Zwrot dotacji wykorzystanych niezgodnie z przeznaczeniem, pobranych nienależnie lub w nadmiernej wysokości na realizację zadań z zakresu przeciwdziałania narkomanii</t>
  </si>
  <si>
    <t>Składki na ubezpieczenie zdrowotne oraz świadczenia dla osób nieobjętych obowiązkiem ubezpieczenia zdrowotnego</t>
  </si>
  <si>
    <t>Staże i specjalizacje medyczne</t>
  </si>
  <si>
    <t>Środki otrzymane z państwowych funduszy celowych na realizację zadań bieżących jednostek sektora finansów publicznych</t>
  </si>
  <si>
    <t xml:space="preserve">Odsetki od zwrotu dotacji wykorzystanej niezgodnie z przeznaczeniem na realizację projektu pn. „Poprawa bezpieczeństwa epidemiologicznego na terenie województwa podkarpackiego w związku z pojawieniem się koronawirusa SARS-CoV-2” realizowanego w ramach Regionalnego Programu Operacyjnego Województwa Podkarpackiego na lata 2014-2020 </t>
  </si>
  <si>
    <t xml:space="preserve">Zwrot przez partnera części dotacji wykorzystanej niezgodnie z przeznaczeniem, pobranej nienależnie lub w nadmiernej wysokości na realizację projektu pn. „Poprawa bezpieczeństwa epidemiologicznego na terenie województwa podkarpackiego w związku z pojawieniem się koronawirusa SARS-CoV-2” w ramach Regionalnego Programu Operacyjnego Województwa Podkarpackiego na lata 2014-2020 </t>
  </si>
  <si>
    <t xml:space="preserve">Zwrotu części niewykorzystanej dotacji przez partnera projektu  realizowanego w ramach Regionalnego Programu Operacyjnego Województwa Podkarpackiego na lata 2014-2020 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</si>
  <si>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</si>
  <si>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</si>
  <si>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</si>
  <si>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 xml:space="preserve">Zwrotu dotacji wykorzystanych niezgodnie z przeznaczeniem, pobranych nienależnie lub w nadmiernej wysokości na realizację zadań z zakresu przeciwdziałania przemocy w rodzinie </t>
  </si>
  <si>
    <t>Regionalne ośrodki polityki społecznej</t>
  </si>
  <si>
    <t>Dochody realizowane przez Regionalny Ośrodek Polityki Społecznej w Rzeszowie</t>
  </si>
  <si>
    <t>0580</t>
  </si>
  <si>
    <t xml:space="preserve">Odsetki od dotacji wykorzystanych niezgodnie z przeznaczeniem, pobranych nienależnie lub w nadmiernej wysokości na realizację zadań z zakresu pomocy społecznej </t>
  </si>
  <si>
    <t xml:space="preserve">Zwrot dotacji wykorzystanych niezgodnie z przeznaczeniem, pobranych nienależnie lub w nadmiernej wysokości na realizację zadań z zakresu pomocy społecznej </t>
  </si>
  <si>
    <t xml:space="preserve">Zwrot części niewykorzystanych dotacji na realizację zadań z zakresu pomocy społecznej </t>
  </si>
  <si>
    <t>Środki pochodzące z budżetu Unii Europejskiej na realizację projektu pn. "Liderzy kooperacji" w ramach Programu Operacyjnego Wiedza Edukacja Rozwój na lata 2014-2020</t>
  </si>
  <si>
    <t>Środki pochodzące z budżetu Unii Europejskiej na realizację projektu pn. "Kompetencje plus" w ramach Programu Operacyjnego Wiedza Edukacja 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</si>
  <si>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</si>
  <si>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"Kompetencje plus" w ramach Programu Operacyjnego Wiedza Edukacja Rozwój na lata 2014-2020</t>
  </si>
  <si>
    <t>Środki pochodzące z budżetu Unii Europejskiej jako refundacja wydatków poniesionych ze środków własnych na realizację projektu pn. "Kompetencje plus" w ramach Programu Operacyjnego Wiedza Edukacja Rozwój na lata 2014-2020</t>
  </si>
  <si>
    <t>Środki pochodzące z budżetu Unii Europejskiej na realizację projektu pn. "Kompetencje plus" w ramach Programu Operacyjnego Wiedza Edukacja Rozwój na lata 2014-2020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</si>
  <si>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</si>
  <si>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</si>
  <si>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</si>
  <si>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Partnera projektu pn. "Kompetencje plus" w ramach Programu Operacyjnego Wiedza Edukacja Rozwój na lata 2014-2020</t>
  </si>
  <si>
    <t>2957</t>
  </si>
  <si>
    <t>Środki pochodzące z budżetu Unii Europejskiej na realizację projektu pn. "Lepsze jutro" w ramach Programu Operacyjnego Wiedza Edukacja Rozwój na lata 2014-2020</t>
  </si>
  <si>
    <t>Dotacja celowa z budżetu państwa na realizację projektu pn. "Lepsze jutro" w ramach Programu Operacyjnego Wiedza Edukacja Rozwój na lata 2014-2020</t>
  </si>
  <si>
    <t>Zwrot części niewykorzystanych dotacji przez beneficjentów projektów realizowanych w ramach Regionalnego Programu Operacyjnego Województwa Podkarpackiego na lata 2014-2020</t>
  </si>
  <si>
    <t>POZOSTAŁE ZADANIA W ZAKRESIE POLITYKI SPOŁECZNEJ</t>
  </si>
  <si>
    <t>Rehabilitacja zawodowa i społeczna osób niepełnosprawnych</t>
  </si>
  <si>
    <t>Odsetki od dotacji wykorzystanych niezgodnie z przeznaczeniem, pobranych nienależnie lub w nadmiernej wysokości na realizację zadań  wynikających z Wojewódzkiego Programu Na Rzecz Wyrównywania Szans Osób Niepełnosprawnych i Przeciwdziałania Ich Wykluczeniu Społecznemu na lata 2021-2030</t>
  </si>
  <si>
    <t>Zwrot części niewykorzystanych dotacji oraz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 na lata 2021-2030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</si>
  <si>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</si>
  <si>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</si>
  <si>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</si>
  <si>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0948</t>
  </si>
  <si>
    <t>Dotacja celowa z budżetu państwa na współfinansowanie projektów w ramach Programu Operacyjnego Wiedza Edukacja Rozwój na lata 2014 - 2020</t>
  </si>
  <si>
    <t>2009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</si>
  <si>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</si>
  <si>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</si>
  <si>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2440</t>
  </si>
  <si>
    <t>Wpływy ze zwrotów dotacji oraz płatności wykorzystanych niezgodnie z przeznaczeniem lub wykorzystanych z naruszeniem procedur, o których mowa w art. 184 ustawy, pobranych nienależnie lub w nadmiernej wysokości</t>
  </si>
  <si>
    <t>2918</t>
  </si>
  <si>
    <t>Wpływy z pozostałych odsetek</t>
  </si>
  <si>
    <t>Wpływy z różnych dochodów</t>
  </si>
  <si>
    <t>Środki pochodzące z budżetu Unii Europejskiej na realizację projektu pn. „Standardy w zakresie mieszkalnictwa wspomaganego dla osób chorujących psychicznie po wielokrotnych pobytach w szpitalach psychiatrycznych" w ramach Programu Operacyjnego Wiedza Edukacja Rozwój na lata 2014-2020</t>
  </si>
  <si>
    <t xml:space="preserve">Dotacja celowa z budżetu państwa na współfinansowanie wydatków na realizację projektu pn. „Standardy w zakresie mieszkalnictwa wspomaganego dla osób chorujących psychicznie po wielokrotnych pobytach w szpitalach psychiatrycznych" w ramach Programu Operacyjnego Wiedza Edukacja Rozwój 2014-2020 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</si>
  <si>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</si>
  <si>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</si>
  <si>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>EDUKACYJNA OPIEKA WYCHOWAWCZA</t>
  </si>
  <si>
    <t>Internaty i bursy szkolne</t>
  </si>
  <si>
    <t>RODZINA</t>
  </si>
  <si>
    <t>Wspieranie rodziny</t>
  </si>
  <si>
    <t xml:space="preserve">Środki pochodzące z budżetu UE jako refundacja wydatków poniesionych ze środków własnych na realizację projektu pn. „Bliżej rodziny - szkolenia dla kadr systemów wspierania rodziny i pieczy zastępczej” w ramach Programu Operacyjnego Wiedza, Edukacja, Rozwój 2014-2020 </t>
  </si>
  <si>
    <t xml:space="preserve">Dotacja celowa z budżetu państwa jako refundacja wydatków poniesionych ze środków własnych na realizację projektu pn. „Bliżej rodziny - szkolenia dla kadr systemów wspierania rodziny i pieczy zastępczej” w ramach Programu Operacyjnego Wiedza, Edukacja, Rozwój 2014-2020 </t>
  </si>
  <si>
    <t>Zwrot dotacji wykorzystanych niezgodnie z przeznaczeniem, pobranych nienależnie lub w nadmiernej wysokości na realizację zadań z zakresu wspierania rodziny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</si>
  <si>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</si>
  <si>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</si>
  <si>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</si>
  <si>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</si>
  <si>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Zwrot części otrzymanej w 2019 r. dotacji celowej na realizację zadań w zakresie prowadzenia regionalnych placówek opiekuńczo - terapeutycznych na terenie województwa podkarpackiego</t>
  </si>
  <si>
    <t>GOSPODARKA KOMUNALNA I OCHRONA ŚRODOWISKA</t>
  </si>
  <si>
    <t>Ochrona powietrza atmosferycznego i klimatu</t>
  </si>
  <si>
    <t>Wpływy i wydatki związane z gromadzeniem środków 
z opłat i kar za korzystanie ze środowiska</t>
  </si>
  <si>
    <t>3% wpływu z tytułu opłat za korzystanie ze środowiska</t>
  </si>
  <si>
    <t>Wpływy i wydatki związane z gromadzeniem środków 
z opłat produktowych</t>
  </si>
  <si>
    <t>1% wpływu z tytułu opłaty recyklingowej za opakowania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</si>
  <si>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</si>
  <si>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</si>
  <si>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</si>
  <si>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</si>
  <si>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</si>
  <si>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>10% wpływu z tytułu opłat na publiczne kampanie edukacyjne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</si>
  <si>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</si>
  <si>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</si>
  <si>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</si>
  <si>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35,65% wpływu z opłaty rejestrowej i opłaty rocznej od podmiotów wprowadzających produkty, produkty w opakowaniach i gospodarujących odpadami</t>
  </si>
  <si>
    <t>Wpływ z tytułu opłat za udostępnianie informacji o środowisku</t>
  </si>
  <si>
    <t>Oosetki od zwrotu części dotacji wykorzystanej niezgodnie z przenaczeniem na realizację zadania w ramach Podkarpackiego Programu Odnowy Wsi na lata 2017-2020</t>
  </si>
  <si>
    <t>KULTURA I OCHRONA DZIEDZICTWA NARODOWEGO</t>
  </si>
  <si>
    <t>Filharmonie, orkiestry, chóry i kapele</t>
  </si>
  <si>
    <t xml:space="preserve">Biblioteki </t>
  </si>
  <si>
    <t>Odsetki od dotacji  wykorzystanych niezgodnie z przeznaczeniem, pobranych nienależnie lub w nadmiernej wysokości na realizację zadańz zakresu kultury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</si>
  <si>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</si>
  <si>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</si>
  <si>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Zwrot części dotacji wykorzystanych niezgodnie z przeznaczeniem, pobranych nienależnie lub w nadmiernej wysokości na realizację zadań z zakresu kultury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</si>
  <si>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</si>
  <si>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</si>
  <si>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</si>
  <si>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OGÓŁEM</t>
  </si>
  <si>
    <t>w tym:</t>
  </si>
  <si>
    <t>dochody bieżące</t>
  </si>
  <si>
    <t xml:space="preserve">finansowane z dotacji </t>
  </si>
  <si>
    <t>finansowane z dochodów własnych</t>
  </si>
  <si>
    <t>dochody majątkowe</t>
  </si>
  <si>
    <t>Plan dochodów na 2023 r. według działów, rozdziałów, paragrafów klasyfikacji budżetowej oraz źródeł dochodów</t>
  </si>
  <si>
    <t>Plan na 2023 r.</t>
  </si>
  <si>
    <t>Środki pochodzące z budżetu Unii Europejskiej na realizację projektu pn. "Projekt akredytowany - nr 2022-1-PL01-KA121-SCH-000062408 w ramach programu ERASMUS+" w ramach Programu Erasmus+</t>
  </si>
  <si>
    <t>Dochody ze sprzedaży mienia będącego w zasobie Województwa.
Wykaz nieruchomości do sprzedaży:
1) działki okołolotniskowe - 1.000.000,-zł,
2) Przemyśl, ul. Łukasińskiego, nieruchomość oznaczona jako działki ewidencyjne nr 1506 o pow. 0,1277 ha i nr 1512 o pow. 0,1437 ha , zabudowana budynkiem po byłym Kolegium Nauczycielskim im. Fredry w Przemyślu (2.000.000,-zł - 50% bonyfikaty) - 1.100.000,-zł,
3) Krosno ul. Lewakowskiego 7 - lokal użytkowy nr 3 o pow. użytkowej 594,61 m2, z którym związany jest udział wynoszący 59461/90131 w częściach wspólnych budynku oraz w prawie własności do działki ewidencyjnej nr 648/1 o pow. 0,0727 ha oraz 6 działek o pow. 0,0020 ha każda zabudowana budynkiem garazowym - 1.300.000,-zł.</t>
  </si>
  <si>
    <t>Dotacja celowa z budżetu państwa na finansowanie wydatków objętych Pomocą Techniczną REACT EU Regionalnego Programu Operacyjnego Województwa Podkarpackiego na lata 2014 - 2020</t>
  </si>
  <si>
    <t>RAZEM</t>
  </si>
  <si>
    <t>wydatki majątkowe</t>
  </si>
  <si>
    <t>4431</t>
  </si>
  <si>
    <t>4301</t>
  </si>
  <si>
    <t>4211</t>
  </si>
  <si>
    <t>pozostałe wydatki bieżące</t>
  </si>
  <si>
    <t>4711</t>
  </si>
  <si>
    <t>4121</t>
  </si>
  <si>
    <t>4111</t>
  </si>
  <si>
    <t>4011</t>
  </si>
  <si>
    <t>wynagrodzenia wraz z pochodnymi</t>
  </si>
  <si>
    <t>dotacje dla partnerów</t>
  </si>
  <si>
    <t>wydatki bieżące,
w tym:</t>
  </si>
  <si>
    <t>OGÓŁEM
z tego:</t>
  </si>
  <si>
    <t>80195</t>
  </si>
  <si>
    <r>
      <t xml:space="preserve">Projekt akredytowany  - nr 2022-1-PL01-KA121-SCH-000062408 w ramach programu Erasmus+
</t>
    </r>
    <r>
      <rPr>
        <sz val="9"/>
        <rFont val="Arial"/>
        <family val="2"/>
        <charset val="238"/>
      </rPr>
      <t xml:space="preserve">Erasmus + </t>
    </r>
  </si>
  <si>
    <t>4</t>
  </si>
  <si>
    <t>4421</t>
  </si>
  <si>
    <t>4791</t>
  </si>
  <si>
    <r>
      <t xml:space="preserve">Making personal learning experiences possible and visible also in a digital way - Das PerLen - Konzept
</t>
    </r>
    <r>
      <rPr>
        <sz val="9"/>
        <rFont val="Arial"/>
        <family val="2"/>
        <charset val="238"/>
      </rPr>
      <t xml:space="preserve">Erasmus + </t>
    </r>
  </si>
  <si>
    <t>3</t>
  </si>
  <si>
    <t>4369</t>
  </si>
  <si>
    <t>4367</t>
  </si>
  <si>
    <t>4309</t>
  </si>
  <si>
    <t>4307</t>
  </si>
  <si>
    <t>4269</t>
  </si>
  <si>
    <t>4267</t>
  </si>
  <si>
    <t>4219</t>
  </si>
  <si>
    <t>4217</t>
  </si>
  <si>
    <t>4799</t>
  </si>
  <si>
    <t>4797</t>
  </si>
  <si>
    <t>4719</t>
  </si>
  <si>
    <t>4717</t>
  </si>
  <si>
    <t>4179</t>
  </si>
  <si>
    <t>4177</t>
  </si>
  <si>
    <t>4129</t>
  </si>
  <si>
    <t>4127</t>
  </si>
  <si>
    <t>4119</t>
  </si>
  <si>
    <t>4117</t>
  </si>
  <si>
    <t>4019</t>
  </si>
  <si>
    <t>4017</t>
  </si>
  <si>
    <t>80146</t>
  </si>
  <si>
    <r>
      <t xml:space="preserve">Podkarpacie Uczy Cyfrowo III
</t>
    </r>
    <r>
      <rPr>
        <sz val="9"/>
        <rFont val="Arial"/>
        <family val="2"/>
        <charset val="238"/>
      </rPr>
      <t>Program Operacyjny Polska Cyfrowa na lata 2014-2020</t>
    </r>
  </si>
  <si>
    <t>2</t>
  </si>
  <si>
    <t>4419</t>
  </si>
  <si>
    <t>4417</t>
  </si>
  <si>
    <t>4249</t>
  </si>
  <si>
    <t>4247</t>
  </si>
  <si>
    <t>4229</t>
  </si>
  <si>
    <t>4227</t>
  </si>
  <si>
    <r>
      <t xml:space="preserve">Lekcja:Enter - Podkarpacie Uczy Cyfrowo II
</t>
    </r>
    <r>
      <rPr>
        <sz val="9"/>
        <rFont val="Arial"/>
        <family val="2"/>
        <charset val="238"/>
      </rPr>
      <t>Program Operacyjny Polska Cyfrowa na lata 2014-2020</t>
    </r>
  </si>
  <si>
    <t>1</t>
  </si>
  <si>
    <t>PODKARPACKI ZESPÓŁ PLACÓWEK WOJEWÓDZKICH W RZESZOWIE</t>
  </si>
  <si>
    <t>V</t>
  </si>
  <si>
    <t>4718</t>
  </si>
  <si>
    <t>4128</t>
  </si>
  <si>
    <t>4118</t>
  </si>
  <si>
    <t>4018</t>
  </si>
  <si>
    <t>2008</t>
  </si>
  <si>
    <t>dotacje dla beneficjentów</t>
  </si>
  <si>
    <t>75095</t>
  </si>
  <si>
    <t>750</t>
  </si>
  <si>
    <r>
      <t xml:space="preserve">Zadanie polegające na wzmacnianiu zdolności gmin do programowania i wdrażania działań rewitalizacyjnych
</t>
    </r>
    <r>
      <rPr>
        <sz val="9"/>
        <color rgb="FFFF0000"/>
        <rFont val="Arial"/>
        <family val="2"/>
        <charset val="238"/>
      </rPr>
      <t xml:space="preserve">Program Operacyjny Pomoc Techniczna na lata 2014-2020 (WPF)
</t>
    </r>
  </si>
  <si>
    <t>4709</t>
  </si>
  <si>
    <t>4707</t>
  </si>
  <si>
    <t>4529</t>
  </si>
  <si>
    <t>4569</t>
  </si>
  <si>
    <t>4449</t>
  </si>
  <si>
    <t>4447</t>
  </si>
  <si>
    <t>4399</t>
  </si>
  <si>
    <t>4397</t>
  </si>
  <si>
    <t>4049</t>
  </si>
  <si>
    <t>4047</t>
  </si>
  <si>
    <t>85295</t>
  </si>
  <si>
    <r>
      <t xml:space="preserve">Liderzy kooperacji
</t>
    </r>
    <r>
      <rPr>
        <sz val="9"/>
        <rFont val="Arial"/>
        <family val="2"/>
        <charset val="238"/>
      </rPr>
      <t xml:space="preserve">Program Operacyjny Wiedza Edukacja Rozwój na lata 2014-2020 </t>
    </r>
  </si>
  <si>
    <r>
      <t xml:space="preserve">Koordynacja sektora ekonomii społecznej w województwie podkarpackim w latach 2020-2022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</si>
  <si>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REGIONALNY OŚRODEK POLITYKI SPOŁECZNEJ W RZESZOWIE</t>
  </si>
  <si>
    <t>IV</t>
  </si>
  <si>
    <t>6068</t>
  </si>
  <si>
    <t>2958</t>
  </si>
  <si>
    <t>85332</t>
  </si>
  <si>
    <r>
      <t xml:space="preserve">Pomoc techniczna RPO WP na lata 2014-2020 dla Wojewódzkiego Urzędu Pracy w Rzeszowie na rok 2022
</t>
    </r>
    <r>
      <rPr>
        <sz val="9"/>
        <color rgb="FFFF0000"/>
        <rFont val="Arial"/>
        <family val="2"/>
        <charset val="238"/>
      </rPr>
      <t>Pomoc Techniczna - Regionalny Program Operacyjny Województwa Podkarpackiego na lata 2014-2020</t>
    </r>
  </si>
  <si>
    <t>6067</t>
  </si>
  <si>
    <t>6059</t>
  </si>
  <si>
    <t>6057</t>
  </si>
  <si>
    <t>4619</t>
  </si>
  <si>
    <t>4617</t>
  </si>
  <si>
    <t>4409</t>
  </si>
  <si>
    <t>4407</t>
  </si>
  <si>
    <t>4289</t>
  </si>
  <si>
    <t>4287</t>
  </si>
  <si>
    <t>4279</t>
  </si>
  <si>
    <t>4277</t>
  </si>
  <si>
    <t>3029</t>
  </si>
  <si>
    <t>3027</t>
  </si>
  <si>
    <t>85231</t>
  </si>
  <si>
    <r>
      <t xml:space="preserve">Podkarpackie Centrum Integracji Cudzoziemców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</si>
  <si>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4708</t>
  </si>
  <si>
    <t>4618</t>
  </si>
  <si>
    <t>4528</t>
  </si>
  <si>
    <t>4439</t>
  </si>
  <si>
    <t>4438</t>
  </si>
  <si>
    <t>4418</t>
  </si>
  <si>
    <t>4408</t>
  </si>
  <si>
    <t>4389</t>
  </si>
  <si>
    <t>4388</t>
  </si>
  <si>
    <t>4368</t>
  </si>
  <si>
    <t>4308</t>
  </si>
  <si>
    <t>4288</t>
  </si>
  <si>
    <t>4278</t>
  </si>
  <si>
    <t>4268</t>
  </si>
  <si>
    <t>4218</t>
  </si>
  <si>
    <t>3028</t>
  </si>
  <si>
    <t>4178</t>
  </si>
  <si>
    <t>4048</t>
  </si>
  <si>
    <r>
      <t xml:space="preserve">Pomoc techniczna RPO WP na lata 2014-2020 dla Wojewódzkiego Urzędu Pracy w Rzeszowie na rok 2023
</t>
    </r>
    <r>
      <rPr>
        <sz val="9"/>
        <rFont val="Arial"/>
        <family val="2"/>
        <charset val="238"/>
      </rPr>
      <t xml:space="preserve">Pomoc Techniczna - Regionalny Program Operacyjny Województwa Podkarpackiego na lata 2014-2020 </t>
    </r>
  </si>
  <si>
    <r>
      <t xml:space="preserve">Pomoc techniczna
</t>
    </r>
    <r>
      <rPr>
        <sz val="9"/>
        <rFont val="Arial"/>
        <family val="2"/>
        <charset val="238"/>
      </rPr>
      <t xml:space="preserve">Program Operacyjny Wiedza, Edukacja, Rozwój na lata 2014-2020 </t>
    </r>
  </si>
  <si>
    <t>85395</t>
  </si>
  <si>
    <t>6209</t>
  </si>
  <si>
    <t>wydatki bieżące</t>
  </si>
  <si>
    <r>
      <t xml:space="preserve">Dotacja celowa dla beneficjentów realizujących projekty w ramach osi VII - IX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</si>
  <si>
    <r>
      <t xml:space="preserve">Dotacja celowa dla beneficjentów realizujących projekty w ramach osi I
</t>
    </r>
    <r>
      <rPr>
        <sz val="9"/>
        <color rgb="FFFF0000"/>
        <rFont val="Arial"/>
        <family val="2"/>
        <charset val="238"/>
      </rPr>
      <t>Program Operacyjny Wiedza Edukacja Rozwój na lata 2014-2020 (WPF)</t>
    </r>
  </si>
  <si>
    <t>WOJEWÓDZKI URZĄD PRACY W RZESZOWIE</t>
  </si>
  <si>
    <t>III</t>
  </si>
  <si>
    <t>6050</t>
  </si>
  <si>
    <t>60013</t>
  </si>
  <si>
    <r>
      <t xml:space="preserve">Rozbudowa DW 878 na odcinku od granicy miasta Rzeszowa (ul. Lubelska) do DW 869
</t>
    </r>
    <r>
      <rPr>
        <sz val="9"/>
        <rFont val="Arial"/>
        <family val="2"/>
        <charset val="238"/>
      </rPr>
      <t xml:space="preserve">Program Operacyjny Polska Wschodnia na lata 2014-2020 </t>
    </r>
  </si>
  <si>
    <t>5</t>
  </si>
  <si>
    <t>Rozbudowa drogi wojewódzkiej nr 867 na odcinku Lubaczów do Basznia Górna
Program Współpracy Transgranicznej Polska - Białoruś - Ukraina na lata 2014-2020</t>
  </si>
  <si>
    <t>Budowa nowego odcinka drogi wojewódzkiej nr 992 w miejscowości Jasło
Program Współpracy Transgranicznej Interreg V-A Polska - Słowacja na lata 2014-2020</t>
  </si>
  <si>
    <r>
      <t xml:space="preserve">Przebudowa/rozbudowa DW 895 na odcinku Solina-Myczków i DW 894 na odcinku Hoczew-Polańczyk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</si>
  <si>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6060</t>
  </si>
  <si>
    <r>
      <t xml:space="preserve">Budowa nowego odcinka drogi wojewódzkiej nr 984 od m. Piątkowiec przez m. Rzędzianowice do ul. Sienkiewicza w Mielcu wraz z budową mostu na rzece Wisłoka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</si>
  <si>
    <r>
      <t xml:space="preserve">Budowa/przebudowa drogi wojewódzkiej nr 835 Lublin-Przeworsk-Grabownica Starzeńska na odcinku od DK 94 do miasta Kańczuga - etap II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</si>
  <si>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r>
      <t xml:space="preserve">Budowa/przebudowa drogi wojewódzkiej nr 835 Lublin-Przeworsk-Grabownica Starzeńska na odcinku od DK 94 do miasta Kańczuga - etap I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</si>
  <si>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r>
      <t xml:space="preserve">Budowa drogi wojewódzkiej nr 886 na odcinku pomiędzy planowaną obwodnicą miasta Sanoka a drogą krajową nr 28
</t>
    </r>
    <r>
      <rPr>
        <sz val="9"/>
        <rFont val="Arial"/>
        <family val="2"/>
        <charset val="238"/>
      </rPr>
      <t xml:space="preserve">Regionalny Program Operacyjny Województwa Podkarpackiego na lata 2014-2020 </t>
    </r>
  </si>
  <si>
    <t>PODKARPACKI ZARZĄD DRÓG WOJEWÓDZKICH W RZESZOWIE</t>
  </si>
  <si>
    <t>II</t>
  </si>
  <si>
    <r>
      <t xml:space="preserve">S
</t>
    </r>
    <r>
      <rPr>
        <sz val="9"/>
        <color rgb="FFFF0000"/>
        <rFont val="Arial"/>
        <family val="2"/>
        <charset val="238"/>
      </rPr>
      <t>F (WPF)
(Departament )</t>
    </r>
  </si>
  <si>
    <t>4228</t>
  </si>
  <si>
    <r>
      <t xml:space="preserve">Punkty Informacyjne Funduszy Europejskich
</t>
    </r>
    <r>
      <rPr>
        <sz val="9"/>
        <rFont val="Arial"/>
        <family val="2"/>
        <charset val="238"/>
      </rPr>
      <t>Program Operacyjny Pomoc Techniczna na lata 2014-2020 
(Biuro Informacji o Funduszach Europejskich)</t>
    </r>
  </si>
  <si>
    <t>24</t>
  </si>
  <si>
    <r>
      <t xml:space="preserve">Wysokie standardy obsługi inwestora w samorządach województwa podkarpackiego
</t>
    </r>
    <r>
      <rPr>
        <sz val="9"/>
        <rFont val="Arial"/>
        <family val="2"/>
        <charset val="238"/>
      </rPr>
      <t>Program Operacyjny Wiedza Edukacja Rozwój na lata 2014-2020 
(Departament Rozwoju Regionalnego)</t>
    </r>
  </si>
  <si>
    <t>23</t>
  </si>
  <si>
    <t>6207</t>
  </si>
  <si>
    <r>
      <t xml:space="preserve">Zintegrowany i uspołeczniony model planowania przestrzennego poprzez opracowanie Strategii Przestrzennej Rzeszowskiego Obszaru Funkcjonalnego
</t>
    </r>
    <r>
      <rPr>
        <sz val="9"/>
        <rFont val="Arial"/>
        <family val="2"/>
        <charset val="238"/>
      </rPr>
      <t>Program Operacyjny Wiedza Edukacja Rozwój na lata 2014-2020 
(Departament Rozwoju Regionalnego)</t>
    </r>
  </si>
  <si>
    <t>22</t>
  </si>
  <si>
    <t>6069</t>
  </si>
  <si>
    <t>4387</t>
  </si>
  <si>
    <t>75018</t>
  </si>
  <si>
    <r>
      <t xml:space="preserve">Poprawa dostępności do usług publicznych w Urzędzie Marszałkowskim Województwa Podkarpackiego w Rzeszowie
</t>
    </r>
    <r>
      <rPr>
        <sz val="9"/>
        <rFont val="Arial"/>
        <family val="2"/>
        <charset val="238"/>
      </rPr>
      <t>Program Operacyjny Wiedza Edukacja Rozwój na lata 2014-2020 
(Departament Gospodarki Regionalnej)</t>
    </r>
  </si>
  <si>
    <t>21</t>
  </si>
  <si>
    <t>4429</t>
  </si>
  <si>
    <t>4428</t>
  </si>
  <si>
    <t>75075</t>
  </si>
  <si>
    <r>
      <t xml:space="preserve">Naftowe dziedzictwo działalności Ignacego Łukasiewicza
</t>
    </r>
    <r>
      <rPr>
        <sz val="9"/>
        <color rgb="FFFF0000"/>
        <rFont val="Arial"/>
        <family val="2"/>
        <charset val="238"/>
      </rPr>
      <t>Program Współpracy Transgranicznej Polska - Białoruś - Ukraina na lata 2014-2020 (WPF)
(Departament Gospodarki Regionalnej)</t>
    </r>
  </si>
  <si>
    <t>6698</t>
  </si>
  <si>
    <r>
      <t xml:space="preserve">Funkcjonowanie Oddziału Programu Współpracy Transgranicznej EIS Polska - Białoruś - Ukraina 2014-2020 w Rzeszowie w latach 2022-2023
</t>
    </r>
    <r>
      <rPr>
        <sz val="9"/>
        <rFont val="Arial"/>
        <family val="2"/>
        <charset val="238"/>
      </rPr>
      <t>Program Współpracy Transgranicznej Polska- Białoruś - Ukraina na lata 2014-2020 
(Biuro "Oddział Programu Współpracy Transgranicznej POLSKA-BIAŁORUŚ-UKRAINA 2014-2020 w Rzeszowie")</t>
    </r>
  </si>
  <si>
    <t>20</t>
  </si>
  <si>
    <r>
      <t xml:space="preserve">Wspólnie wzbogacamy polsko-słowackie pogranicze
Pomoc techniczna - </t>
    </r>
    <r>
      <rPr>
        <sz val="9"/>
        <rFont val="Arial"/>
        <family val="2"/>
        <charset val="238"/>
      </rPr>
      <t>Program Współpracy Transgranicznej Interreg V-A Polska - Słowacja na lata 2014-2020 
(Departament Gospodarki Regionalnej)</t>
    </r>
  </si>
  <si>
    <t>19</t>
  </si>
  <si>
    <t>60002</t>
  </si>
  <si>
    <r>
      <t xml:space="preserve">Budowa Podmiejskiej Kolei Aglomeracyjnej - PKA: budowa i modernizacja linii kolejowych oraz infrastruktury przystankowej
</t>
    </r>
    <r>
      <rPr>
        <sz val="9"/>
        <color rgb="FFFF0000"/>
        <rFont val="Arial"/>
        <family val="2"/>
        <charset val="238"/>
      </rPr>
      <t>Program Operacyjny Infrastruktura i Środowisko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Dróg i Publicznego Transportu Zbiorowego)</t>
    </r>
  </si>
  <si>
    <r>
      <t xml:space="preserve">Budowa Podmiejskiej Kolei Aglomeracyjnej - PKA: budowa zaplecza technicznego
</t>
    </r>
    <r>
      <rPr>
        <sz val="9"/>
        <rFont val="Arial"/>
        <family val="2"/>
        <charset val="238"/>
      </rPr>
      <t xml:space="preserve">Program Operacyjny Infrastruktura i Środowisko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</si>
  <si>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18</t>
  </si>
  <si>
    <t>4199</t>
  </si>
  <si>
    <t>4198</t>
  </si>
  <si>
    <r>
      <t xml:space="preserve">Pomoc techniczna
</t>
    </r>
    <r>
      <rPr>
        <sz val="9"/>
        <rFont val="Arial"/>
        <family val="2"/>
        <charset val="238"/>
      </rPr>
      <t>Program Operacyjny Rybactwo i Morze na lata 2014-2020
(Departament Programów Rozwoju Obszarów Wiejskich)</t>
    </r>
  </si>
  <si>
    <t>17</t>
  </si>
  <si>
    <t>4398</t>
  </si>
  <si>
    <r>
      <t xml:space="preserve">Pomoc techniczna
</t>
    </r>
    <r>
      <rPr>
        <sz val="9"/>
        <rFont val="Arial"/>
        <family val="2"/>
        <charset val="238"/>
      </rPr>
      <t>Program Rozwoju Obszarów Wiejskich na lata 2014-2020
(Departament Programów Rozwoju Obszarów Wiejskich)</t>
    </r>
  </si>
  <si>
    <t>16</t>
  </si>
  <si>
    <t>6220</t>
  </si>
  <si>
    <t>92109</t>
  </si>
  <si>
    <r>
      <t xml:space="preserve">Utworzenie podkarpackiego centrum nauki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Kultury i Ochrony Dziedzictwa Narodowego - Wojewódzki Dom Kultury w Rzeszowie)</t>
    </r>
  </si>
  <si>
    <t>15</t>
  </si>
  <si>
    <t>3249</t>
  </si>
  <si>
    <t>3247</t>
  </si>
  <si>
    <t>85416</t>
  </si>
  <si>
    <r>
      <t xml:space="preserve">Wsparcie stypendialne dla uczniów zdolnych - szkolnictwo zawodowe - rok szkolny 2021/2022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</si>
  <si>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r>
      <t xml:space="preserve">Wsparcie stypendialne dla uczniów zdolnych - szkolnictwo ogólne - rok szkolny 2021/2022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Edukacji, Nauki i Sportu)</t>
    </r>
  </si>
  <si>
    <t>85195</t>
  </si>
  <si>
    <r>
      <t xml:space="preserve">Poprawa bezpieczeństwa epidemiologicznego na terenie województwa podkarpackiego w związku z pojawieniem się koronawirusa SARS-CoV-2
</t>
    </r>
    <r>
      <rPr>
        <sz val="9"/>
        <color rgb="FFFF0000"/>
        <rFont val="Arial"/>
        <family val="2"/>
        <charset val="238"/>
      </rPr>
      <t>Regionalny Program Operacyjny Województwa Podkarpackiego na lata 2014-2020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Ochrony Zdrowia i Polityki Społecznej)</t>
    </r>
  </si>
  <si>
    <t>6697</t>
  </si>
  <si>
    <t>4427</t>
  </si>
  <si>
    <r>
      <t xml:space="preserve">Promocja Gospodarcza Województwa Podkarpackiego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Promocji, Turystyki i Współpracy Gospodarczej)</t>
    </r>
  </si>
  <si>
    <t>14</t>
  </si>
  <si>
    <r>
      <t xml:space="preserve">Podkarpacki System e-Administracji Publicznej - 2 (PSeAP - 2)
</t>
    </r>
    <r>
      <rPr>
        <sz val="9"/>
        <color rgb="FFFF0000"/>
        <rFont val="Arial"/>
        <family val="2"/>
        <charset val="238"/>
      </rPr>
      <t>Regionalny Program Operacyjny Województwa Podkarpackiego na lata 2014-2020 (WPF)</t>
    </r>
    <r>
      <rPr>
        <i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(Departament Społeczeństwa Informacyjnego)</t>
    </r>
  </si>
  <si>
    <t>73095</t>
  </si>
  <si>
    <r>
      <t xml:space="preserve">Inteligentne specjalizacje - narzędzie wzrostu innowacyjności i konkurencyjności województwa podkarpackiego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Rozwoju Regionalnego)</t>
    </r>
  </si>
  <si>
    <t>13</t>
  </si>
  <si>
    <t>4210</t>
  </si>
  <si>
    <t>72095</t>
  </si>
  <si>
    <r>
      <t xml:space="preserve">Podkarpacki System Informacji Medycznej (PSIM)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Społeczeństwa Informacyjnego)</t>
    </r>
  </si>
  <si>
    <t>12</t>
  </si>
  <si>
    <t>60001</t>
  </si>
  <si>
    <r>
      <t xml:space="preserve">Zakup taboru kolejowego do wykonywania przewozów pasażerskich na terenie Województwa Podkarpackiego-etap II
</t>
    </r>
    <r>
      <rPr>
        <sz val="9"/>
        <rFont val="Arial"/>
        <family val="2"/>
        <charset val="238"/>
      </rPr>
      <t xml:space="preserve">Regionalny Program Operacyjny Województwa Podkarpackiego na lata 2014-2020 </t>
    </r>
    <r>
      <rPr>
        <i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(Departament Dróg i Publicznego Transportu Zbiorowego)</t>
    </r>
  </si>
  <si>
    <t>11</t>
  </si>
  <si>
    <t>dotacje dla odbiorców ostatecznych</t>
  </si>
  <si>
    <r>
      <t xml:space="preserve">Podkarpacka Platforma Wsparcia Biznesu
</t>
    </r>
    <r>
      <rPr>
        <sz val="9"/>
        <rFont val="Arial"/>
        <family val="2"/>
        <charset val="238"/>
      </rPr>
      <t>Regionalny Program Operacyjny Województwa Podkarpackiego na lata 2014-2020 
(Departament Gospodarki Regionalnej)</t>
    </r>
  </si>
  <si>
    <t>10</t>
  </si>
  <si>
    <r>
      <t>Zatrudnienie pracowników UMWP w Rzeszowie zaangażowanych w realizację FEP w 2023 roku</t>
    </r>
    <r>
      <rPr>
        <sz val="9"/>
        <rFont val="Arial"/>
        <family val="2"/>
        <charset val="238"/>
      </rPr>
      <t xml:space="preserve">
Pomoc Techniczna FEP 2021-2027 (EFRR) 
(Departament Organizacyjno - Prawny)</t>
    </r>
  </si>
  <si>
    <t>9</t>
  </si>
  <si>
    <t>6058</t>
  </si>
  <si>
    <r>
      <t>Wsparcie procesu ewaluacji FEP 2021-2027</t>
    </r>
    <r>
      <rPr>
        <sz val="9"/>
        <rFont val="Arial"/>
        <family val="2"/>
        <charset val="238"/>
      </rPr>
      <t xml:space="preserve">
Pomoc Techniczna FEP 2021-2027 (EFRR) 
(Departament Zarządzania Regionalnym Programem Operacyjnym)</t>
    </r>
  </si>
  <si>
    <t>8</t>
  </si>
  <si>
    <r>
      <t xml:space="preserve">Wsparcie działalności Regionalnego Obserwatorium Terytorialnego w procesie dostarczania niezbędnej wiedzy do zarządzania rozwojem regionu RPO WP 2014-2020
</t>
    </r>
    <r>
      <rPr>
        <sz val="9"/>
        <rFont val="Arial"/>
        <family val="2"/>
        <charset val="238"/>
      </rPr>
      <t>Pomoc Techniczna - Regionalny Program Operacyjny Województwa Podkarpackiego na lata 2014-2020 
(Departament Rozwoju Regionalnego)</t>
    </r>
  </si>
  <si>
    <t>7</t>
  </si>
  <si>
    <t>3039</t>
  </si>
  <si>
    <t>3038</t>
  </si>
  <si>
    <r>
      <t xml:space="preserve">Wsparcie UMWP w Rzeszowie w związku z realizacją RPO WP w 2023 roku
</t>
    </r>
    <r>
      <rPr>
        <sz val="9"/>
        <rFont val="Arial"/>
        <family val="2"/>
        <charset val="238"/>
      </rPr>
      <t>Pomoc Techniczna - Regionalny Program Operacyjny Województwa Podkarpackiego na lata 2014-2020 
(Departament Organizacyjno- Prawny)</t>
    </r>
  </si>
  <si>
    <t>6</t>
  </si>
  <si>
    <r>
      <rPr>
        <i/>
        <sz val="9"/>
        <rFont val="Arial"/>
        <family val="2"/>
        <charset val="238"/>
      </rPr>
      <t>Zatrudnienie pracowników UMWP w Rzeszowie zaangażowanych w realizację RPO WP w 2023 roku</t>
    </r>
    <r>
      <rPr>
        <sz val="9"/>
        <rFont val="Arial"/>
        <family val="2"/>
        <charset val="238"/>
      </rPr>
      <t xml:space="preserve">
Pomoc Techniczna - Regionalny Program Operacyjny Województwa Podkarpackiego na lata 2014-2020 
(Departament Organizacyjno- Prawny)</t>
    </r>
  </si>
  <si>
    <r>
      <t>Wsparcie procesu ewaluacji RPO WP 2014-2020 oraz przygotowań do perspektywy 2021-2027</t>
    </r>
    <r>
      <rPr>
        <sz val="9"/>
        <rFont val="Arial"/>
        <family val="2"/>
        <charset val="238"/>
      </rPr>
      <t xml:space="preserve">
Pomoc Techniczna - Regionalny Program Operacyjny Województwa Podkarpackiego na lata 2014-2020 
(Departament Zarządzania Regionalnym Programem Operacyjnym)</t>
    </r>
  </si>
  <si>
    <r>
      <rPr>
        <i/>
        <sz val="9"/>
        <rFont val="Arial"/>
        <family val="2"/>
        <charset val="238"/>
      </rPr>
      <t>Wsparcie procesu wdrażania RPO WP poprzez działania o charakterze informacyjno-promocyjnym, edukacyjnym i integracyjnym w ramach środków REACT-EU</t>
    </r>
    <r>
      <rPr>
        <sz val="9"/>
        <rFont val="Arial"/>
        <family val="2"/>
        <charset val="238"/>
      </rPr>
      <t xml:space="preserve">
Pomoc Techniczna REACT-EU - Regionalny Program Operacyjny Województwa Podkarpackiego na lata 2014-2020 
(Departament Promocji, Turystyki i Współpracy Gospodarczej)</t>
    </r>
  </si>
  <si>
    <t>85111</t>
  </si>
  <si>
    <r>
      <t xml:space="preserve">Dotacja celowa na rzecz beneficjentów osi priorytetowych I-VI RPO WP na lata 2014-2020 realizujących projekty o charakterze innym niż rewitalizacyjny
</t>
    </r>
    <r>
      <rPr>
        <sz val="9"/>
        <rFont val="Arial"/>
        <family val="2"/>
        <charset val="238"/>
      </rPr>
      <t>Regionalny Program Operacyjny Województwa Podkarpackiego na lata 2014-2020 
(Departament Zarządzania Regionalnym Programem Operacyjnym)</t>
    </r>
  </si>
  <si>
    <t>70095</t>
  </si>
  <si>
    <t>70005</t>
  </si>
  <si>
    <r>
      <t xml:space="preserve">Dotacja celowa na rzecz beneficjentów osi priorytetowych I-VI RPO WP na lata 2014-2020 realizujących projekty o charakterze rewitalizacyjnym
</t>
    </r>
    <r>
      <rPr>
        <sz val="9"/>
        <rFont val="Arial"/>
        <family val="2"/>
        <charset val="238"/>
      </rPr>
      <t>Regionalny Program Operacyjny Województwa Podkarpackiego na lata 2014-2020 
(Departament Zarządzania Regionalnym Programem Operacyjnym)</t>
    </r>
  </si>
  <si>
    <t>URZĄD MARSZAŁKOWSKI WOJEWÓDZTWA PODKARPACKIEGO W RZESZOWIE</t>
  </si>
  <si>
    <t>I</t>
  </si>
  <si>
    <t>10.</t>
  </si>
  <si>
    <t>6.</t>
  </si>
  <si>
    <t>inne</t>
  </si>
  <si>
    <t>budżet państwa</t>
  </si>
  <si>
    <t>środki UE</t>
  </si>
  <si>
    <t>budżet województwa</t>
  </si>
  <si>
    <t>Kwota ogółem w 2023r.</t>
  </si>
  <si>
    <t>Rozdział</t>
  </si>
  <si>
    <t>Jednostka realizująca / Nazwa zadania / Program</t>
  </si>
  <si>
    <t>Lp.</t>
  </si>
  <si>
    <t xml:space="preserve"> Plan wydatków budżetu Województwa Podkarpackiego na 2023r. -  
na zadania realizowane w ramach programów finansowanych z udziałem środków,
o których mowa w art. 5 ust. 1 pkt 2 i 3, ustawy o finansach publicznych 
(wg działów, rozdziałów, paragrafów i rodzajów wydatków)</t>
  </si>
  <si>
    <t>OGÓŁEM</t>
  </si>
  <si>
    <t>dotacja celowa dla beneficjentów realizujących projekty w ramach POWER na lata 2014-2020</t>
  </si>
  <si>
    <t>dotacja dla partnera projektu UMWP w Rzeszowie pn. "Wysokie standardy obsługi inwestora w samorządach województwa podkarpackiego"</t>
  </si>
  <si>
    <t>dotacja dla partnerów projektu UMWP w Rzeszowie pn. "Zintegrowany i uspołeczniony model planowania przestrzennego poprzez opracowanie Strategii Przestrzennej Rzeszowskiego Obszaru Funkcjonalnego"</t>
  </si>
  <si>
    <t>majątkowe</t>
  </si>
  <si>
    <t>bieżące</t>
  </si>
  <si>
    <t>Przeznaczenie dotacji</t>
  </si>
  <si>
    <t>Kwota ogółem</t>
  </si>
  <si>
    <t>2. Dotacje dla jednostek spoza sektora finansów publicznych</t>
  </si>
  <si>
    <t>dotacja dla partnerów projektu ROPS w Rzeszowie pn. "Liderzy kooperacji"</t>
  </si>
  <si>
    <t>1. Dotacje dla jednostek sektora finansów publicznych</t>
  </si>
  <si>
    <t>PODZIAŁ DOTACJI CELOWYCH NA REALIZACJĘ 
PROGRAMU OPERACYJNEGO WIEDZA, EDUKACJA, ROZWÓJ NA LATA 2014-2020</t>
  </si>
  <si>
    <t>dotacja celowa dla beneficjentów realizujących projekty w ramach RPO WP na lata 2014-2020</t>
  </si>
  <si>
    <t>dotacja dla partnera i odbiorców ostatecznych projektu UMWP w Rzeszowie pn. "Podkarpacka Platforma Wsparcia Biznesu"</t>
  </si>
  <si>
    <t>dotacja dla Wojewódzkiego Domu Kultury w Rzeszowie na realizację projektu pn. "Utworzenie podkarpackiego centrum nauki"</t>
  </si>
  <si>
    <t>PODZIAŁ DOTACJI CELOWYCH NA REALIZACJĘ 
REGIONALNEGO PROGRAMU OPERACYJNEGO WOJEWÓDZTWA PODKARPACKIEGO NA LATA 2014-2020</t>
  </si>
  <si>
    <t>zwrot części niewykorzystanej dotacji na realizację projektu UMWP w Rzeszowie pn. "Funkcjonowanie Oddziału Programu Współpracy Transgranicznej EIS Polska - Białoruś - Ukraina 2014-2020 w Rzeszowie"</t>
  </si>
  <si>
    <t>Dotacje dla jednostek sektora finansów publicznych</t>
  </si>
  <si>
    <t>PODZIAŁ DOTACJI CELOWYCH NA REALIZACJĘ 
Programu Współpracy Transgranicznej Polska - Białoruś - Ukraina na lata 2014-2020</t>
  </si>
  <si>
    <t xml:space="preserve"> OGÓŁEM</t>
  </si>
  <si>
    <t>Razem: ZAZ</t>
  </si>
  <si>
    <t>Zakład Aktywności Zawodowej w Budach Głogowskich</t>
  </si>
  <si>
    <t>Zakład Aktywności Zawodowej w Rzeszowie (ul. Rejtana 10)</t>
  </si>
  <si>
    <t>Zakład Aktywności Zawodowej Nr 2 w Krośnie</t>
  </si>
  <si>
    <t xml:space="preserve">Zakład Aktywności Zawodowej Nr 1 w Krośnie </t>
  </si>
  <si>
    <t>Zakład Aktywności Zawodowej w Starych Oleszycach</t>
  </si>
  <si>
    <t>Zakład Aktywności Zawodowej w Woli Żyrakowskiej</t>
  </si>
  <si>
    <t>Zakład Aktywności Zawodowej w Woli Dalszej</t>
  </si>
  <si>
    <t>Zakład Aktywności Zawodowej w Jarosławiu</t>
  </si>
  <si>
    <t>Zakład Aktywności Zawodowej w Woli Rafałowskiej</t>
  </si>
  <si>
    <t>Zakład Aktywności Zawodowej w Nowej Sarzynie</t>
  </si>
  <si>
    <t>Zakład Aktywności Zawodowej w Rymanowie Zdroju</t>
  </si>
  <si>
    <t>Kwota 
w złotych</t>
  </si>
  <si>
    <t>Nazwa jednostki</t>
  </si>
  <si>
    <t>Zakład Aktywności Zawodowej w Maliniu</t>
  </si>
  <si>
    <t>Razem: Instytucje kultury</t>
  </si>
  <si>
    <t>Wojewódzka i Miejska Biblioteka Publiczna w Rzeszowie</t>
  </si>
  <si>
    <t>Arboretum i Zakład Fizjografii w Bolestraszycach</t>
  </si>
  <si>
    <t>Galeria Sztuki Współczesnej w Przemyślu</t>
  </si>
  <si>
    <t>Filharmonia Podkarpacka im. A. Malawskiego w Rzeszowie</t>
  </si>
  <si>
    <t>Teatr im. W. Siemaszkowej w Rzeszowie</t>
  </si>
  <si>
    <t>Razem: Domy kultury</t>
  </si>
  <si>
    <t>Centrum Kulturalne w Przemyślu</t>
  </si>
  <si>
    <t>Wojewódzki Dom Kultury w Rzeszowie</t>
  </si>
  <si>
    <t>Razem: Muzea</t>
  </si>
  <si>
    <t xml:space="preserve"> Muzeum Kresów w Lubaczowie</t>
  </si>
  <si>
    <t xml:space="preserve">Muzeum Historyczne w Sanoku </t>
  </si>
  <si>
    <t>Muzeum Polaków Ratujących Żydów podczas II wojny światowej im. Rodziny Ulmów w Markowej</t>
  </si>
  <si>
    <t>Muzeum Marii Konopnickiej w Żarnowcu</t>
  </si>
  <si>
    <t>Muzeum Budownictwa Ludowego w Sanoku</t>
  </si>
  <si>
    <t>Muzeum Narodowe Ziemi Przemyskiej  w  Przemyślu</t>
  </si>
  <si>
    <t xml:space="preserve">Muzeum Kultury Ludowej w Kolbuszowej </t>
  </si>
  <si>
    <t>Muzeum Podkarpackie w Krośnie</t>
  </si>
  <si>
    <t>Muzeum Okręgowe w Rzeszowie</t>
  </si>
  <si>
    <t>Muzeum - Zamek w Łańcucie</t>
  </si>
  <si>
    <t xml:space="preserve">SZCZEGÓŁOWY PODZIAŁ DOTACJI PODMIOTOWYCH  
DLA JEDNOSTEK SEKTORA FINANSÓW PUBLICZNYCH I JEDNOSTKEK SPOZA SEKTORA FINANSÓW PUBLICZNYCH  </t>
  </si>
  <si>
    <t>Realizacja zadań inwestycyjnych pn. 
1) zakup sprzętu i wyposażenia do ochrony obiektów i działalności - 35.000 zł;
2) zakup muzealiów - 60.000,-zł,</t>
  </si>
  <si>
    <t>Realizacja wskazanych zadań i programów:  prezentacja widowiska teatralnego „Podróże z Konopnicką” opartego na utworach poetki z publikacja i wystawą</t>
  </si>
  <si>
    <t>Realizacja zadania inwestycyjnego: 
1) Modernizacja systemu technologii informatycznej w Muzeum Budownictwa Ludowego w Sanoku - 65.000 zł.
2) System klimatyzacyjny w pomieszczeniach biurowych i użyteczności publicznej  – 45.000,-zł.
3) Rozbudowa, przebudowa i nadbudowa budynku magazynowego oraz zmiana sposobu użytkowania części budynku administracyjnego Muzeum Budownictwa Ludowego w Sanoku - 1.390.755 zł.</t>
  </si>
  <si>
    <t>Realizacja wskazanych zadań i programów: 
1) organizację „Jarmarku Folklorystycznego” - 40.000,-zł,
2) organizację Festiwalu „Karpaty zaklęte w drewnie” - 40.000,-zł.</t>
  </si>
  <si>
    <t>Muzeum Budownictwa Ludowego 
w Sanoku</t>
  </si>
  <si>
    <t>Realizacja zadania inwestycyjnego pn.: 
1) zakup muzealiów - 110.000,-zł,
2) Opracowanie dokumentacji projektowej dla zadania "Adaptacja dwóch budynków przy ulicy Rogozińskiego 30 w  Przemyślu na magazyny muzealne" - 1.600.000,-zł.</t>
  </si>
  <si>
    <t>Muzeum Narodowe Ziemi Przemyskiej w Przemyślu</t>
  </si>
  <si>
    <t>Realizacja zadań inwestycyjnych pn.: 
1) Budowa zespołu obiektów Parku Etnograficznego Muzeum Kultury Ludowej w Kolbuszowej (strefa zaplecza "A"): zestawienie do stanu surowego otwartego Rządcówki z Rudnej Wielkiej  – 835.000,-zł.
2) Rozbudowa sektora rzeszowskiego - uzupełnienie zagrody z Budziwoja, przeniesienie wozówki i spichlerza pp Skałów z Zaczernia – 100.000,-zł.
3) zakup muzealiów – 50.000,-zł.
4) Doposażenie stolarni Parku Etnograficznego MKL w Kolbuszowej – 110.000,-zł,</t>
  </si>
  <si>
    <t>Realizacja wskazanych zadań i programów: 
Las w życiu i kulturze mieszkańców Rzeszowszczyzny</t>
  </si>
  <si>
    <t>cd.</t>
  </si>
  <si>
    <t>Muzeum Kultury Ludowej w Kolbuszowej</t>
  </si>
  <si>
    <t>Realizacja zadania inwestycyjnego pn.:  Modernizacja ekspozycji stałej i sali wystaw czasowych.</t>
  </si>
  <si>
    <t xml:space="preserve">Muzeum Polaków Ratujących Żydów podczas II wojny światowej im. Rodziny Ulmów w Markowej </t>
  </si>
  <si>
    <t xml:space="preserve">Realizację zadań inwestycyjnych pn.: 
1) zakup unikatowych eksponatów - 213.000,zł,
2) Sto lat Krośnieńskich Hut Szkła - 90.000,-zł
3) zakup serwera -  25.000,-zł,   </t>
  </si>
  <si>
    <t>Realizacja wskazanych zadań i programów:
1) Karpacki Festiwal Archeologiczny Dwa Oblicza Trzcinica 2023 - 150.000 zł,
2) Archiwum Zamku Kamieniec - 150.000 zł.</t>
  </si>
  <si>
    <t xml:space="preserve">Realizację zadań inwestycyjnych pn.: 
1) Opracowanie dokumentacji projektowej wraz z uzyskaniem wszystkich niezbędnych pozwoleń na wykonanie nowego przyłącza cieplnego wysokich parametrów siedziby głównej Muzeum Okręgowego w Rzeszowie przy ul. 3 Maja 19 do miejskiej sieci ciepłowniczej - 80.000,-zł.
2) zakup niezbędnego sprzętu elektronicznego w celu poprawy jakości infrastruktury kultury dla  realizacji zadań statutowych oraz administracyjnych w Muzeum Okręgowym w Rzeszowie  - 300.000,-zł,
3) zakup muzealiów - 120.000,-zł, </t>
  </si>
  <si>
    <t>Realizacja wskazanych zadań i programów:
1) organizację wystawy czasowej w budynku głównym Muzeum Okręgowego w Rzeszowie przy ul. 3 Maja 19 „Secesja - stylowa jedność sztuk" - 53.660,-zł,
2) wydanie drukiem wydawnictwa pokonferencyjnego „Lasowiacy. Znaki przeszłości - współczesna narracje i konteksty" - 55.950,-zł,
3) realizację zadania pn. EtnoPodkarpackie. Kontynuacja prac badawczych na Podkarpaciu - 49.500,-zł,</t>
  </si>
  <si>
    <t xml:space="preserve">Muzeum Okręgowe w Rzeszowie </t>
  </si>
  <si>
    <t xml:space="preserve">Realizacja zadania inwestycyjnego pn.: Modernizacja bibliotek i poprawa stanu infrastruktury informatycznej wojewódzkich placówek udostępniania w celu polepszenia standardu obsługi użytkowników i bezpieczeństwa pracy 
</t>
  </si>
  <si>
    <t>Realizacja wskazanych zadań i programów:
1) Dyskusyjne Kluby Książki – 30.000,-zł,
2) realizację zadania pn. Wykonywanie zadań powiatowej biblioteki publicznej dla Powiatu Rzeszowskiego - 85.000,-zł</t>
  </si>
  <si>
    <t>Realizacja zadań inwestycyjnych pn.:
1) Modernizacja szklarni - 650.500,-zł.
2) Budowa wiat parkingowych i fotowoltaiki – 797.000 ,-zł.
3) Rozbudowa linii energetycznej niskiego napięcia - 81.300,-zł.
4) Rozbudowa i modernizacja ogrodzenia - 115.500,-zł.
5) Modernizacja budynków Dworu Michałowskiego i Oficyny Dużej - 77.000,-zł.
6) Rozbudowa woliery dla pokazowego ptactwa ozdobnego - 120.000,-zł.
7) Modernizacja budynku hydroforni - 400.000,-zł.
8) Budowa placu zabaw dla dzieci - 34.200,-zł.
9) Rozbudowa alejek ogrodowych - 81.300,-zł.</t>
  </si>
  <si>
    <t>Realizacja wskazanych zadań i programów: 
1) XX Międzynarodowy Plener Artystyczny Wiklina w Arboretum – 40.000,-zł,
2) XII Międzynarodowy Festiwal Derenia – 15.000,-zł.</t>
  </si>
  <si>
    <t>Realizacja zadania inwestycyjnego pn.: zakup nowego oszczędnego oświetlenia sal ekspozycyjnych</t>
  </si>
  <si>
    <t xml:space="preserve">Galeria Sztuki Współczesnej w Przemyślu </t>
  </si>
  <si>
    <t>Realizacja zadań inwestycyjnych pn.:
1) zakup oświetlenia scenicznego Sali widowiskowej  - 350.000,
2) zakup nagłośnienia scenicznego  - 300.000,-zł,
3) zakup zapory sieciowej FIREWALL  - 15.000,-zł,</t>
  </si>
  <si>
    <t>Realizacja wskazanych zadań i programów:
1) Międzynarodowy Festiwal Jazzowy „Jazz bez…" - 50.000 zł,
2) 44. Biesiada Teatralna – Konfrontacje Zespołów Teatralnych Małych Form w Horyńcu Zdroju, reminiscencje horynieckie, warsztaty - 70.000 zł,
3) 44. Ogólnopolski Festiwal Kapel Folkloru Miejskiego im. Jerzego Janickiego - 30.000 zł,
4) realizacja projektów popularyzujących i interpretujących dziedzictwo regionalne Podkarpacia i Kresów Dawnej Rzeczypospolitej - 200.000 zł,
5) CK JAZZ - 30.000 zł.</t>
  </si>
  <si>
    <t>Realizacja zadań inwestycyjnych pn. :
1) zakup i modernizacja mobilnego sprzętu oświetleniowego oraz audiowizualnego " - 200.000,-zł,
2) Podkarpacką Kronikę Filmową - 80.000,-zł,
3) dostawę i montaż klimatyzatorów w budynku WDK w Rzeszowie – 270.000,-zł,
4) zakup samochodu dostawczego do 3,5 tony - 300.000,-zł,
5) Opracowanie kompleksowej dokumentacji projektowej dla inwestycji: Rozbudowa i przebudowa budynku WDK w Rzeszowie wraz z zagospodarowaniem skweru im. G. Gęsickiej i budową parkingów od strony południowej - 500.000,-zł,
6) realizację zadania pn. Podkarpacki Regionalny Fundusz Filmowy - wsparcie Produkcji Filmowej - 1.200.528,-zł.</t>
  </si>
  <si>
    <t>Realizacja wskazanych zadań i programów:  
1) Letnia Szkoła Gry na Cymbałach - 50.000 zł,
2) IX Podkarpacka Jesień Jazzowa- 50.000 zł,
3) Otwarcie Podkarpackiego Szlaku Filmowego w Jarosławiu - 70.000 zł,
4) Festiwal Filmów dla Dzieci i Młodzieży KINOLUB - 40.000 zł,
5) Festiwal KINO VIA CARPATIA - 50.000 zł,
6) XIX Światowy Festiwal Polonijnych Zespołów Folklorystycznych - 300.000 zł,
7) XX Międzynarodowy Niekonwencjonalny Konkurs Fotograficzny "Foto Odlot" - 50.000,-zł,
8) GreenFilmTourism -  17.205,-zł</t>
  </si>
  <si>
    <t xml:space="preserve">Wojewódzki Dom Kultury w Rzeszowie 
</t>
  </si>
  <si>
    <t>Realizacja zadań inwestycyjnych pn. 
1)	 zakup aparatury oświetleniowej oraz nagłośnienia tj. stołu sterowania oświetleniem wraz z zestawem okablowania, 6 sztuk mikrofonów bezprzewodowych oraz konsolety dźwiękowej, cyfrowej wraz z urządzeniem Stage Rack - 426.000,-zł,
2)	 zakup wykładziny baletowej na scenę główną - 22.000,-zł.</t>
  </si>
  <si>
    <t>Realizacja wskazanych zadań i programów:
1)	 Przestrzeń otwarta dla muzyki - 200.000,-zł,
2)	 Międzynarodowy  Konkurs Muzyki Polskiej - II edycja - 450.000,-zł</t>
  </si>
  <si>
    <t xml:space="preserve">Filharmonia Podkarpacka im. Artura Malawskiego w Rzeszowie </t>
  </si>
  <si>
    <t xml:space="preserve">Realizacja zadań inwestycyjnych pn. 
1) 	Modernizacja dachu i elewacji budynku Małej Sceny - 480.000,-zł.
2)	 Modernizacja systemu klimatyzacji - 100.000,-zł.
3)	 Dostosowanie budynków Teatru im. Wandy Siemaszkowej do obowiązujących przepisów ochrony pożarowej - 3.075.000,-zł.
4)	 Przygotowanie kompleksowej wielobranżowej dokumentacji architektoniczno-budowlanej dotyczącej budowy Nowej Sceny Teatru - 1.231.650,-zł.
</t>
  </si>
  <si>
    <t xml:space="preserve">Realizacja wskazanych zadań i programów: 
a)	 Obchody Międzynarodowego Dnia Teatru z premierą pt. "Don Kichot" - 300.000,-zł,
b)	 06. Międzynarodowy Festiwal Sztuk TRANS/MIJE - TRÓJMORZE'23 - 650.000,-zł,
c)	 Scena Wędrowna - 150.000,-zł. </t>
  </si>
  <si>
    <t>Teatr im. W. Siemaszkowej 
w Rzeszowie</t>
  </si>
  <si>
    <t xml:space="preserve">Realizacja Uchwały nr XLVII/780/22 Sejmiku Województwa Podkarpackiego z dnia 28 marca 2022 r. w sprawie zakresu pomocy Województwa Podkarpackiego obywatelom Ukrainy w związku z konfliktem zbrojnym na terytorium tego państwa. </t>
  </si>
  <si>
    <t xml:space="preserve">Regionalny Ośrodek Polityki Społecznej w Rzeszowie </t>
  </si>
  <si>
    <t xml:space="preserve">Realizacja zadania pn. "Remont łazienek (I i II piętra) przeznaczonych na potrzeby pacjentów przebywających w Wojewódzkim Ośrodku Terapii Uzależnienia od Alkoholu i Współuzależnienia w Stalowej Woli" </t>
  </si>
  <si>
    <t xml:space="preserve">Wojewódzkio Ośrodek Terapii Uzależnienia od Alkoholu i Współuzależnienia w Stalowej Woli </t>
  </si>
  <si>
    <t>Realizacja zadania inwestycyjnego pn.: "Zwiększenie dostępności (poprzez rozbudowę i modernizację) e-usług zdrowotnych świadczonych w Wojewódzkim Ośrodku Medycyny Pracy w Rzeszowie".</t>
  </si>
  <si>
    <t>Realizacja zadań statutowych z zakresu medycyny pracy</t>
  </si>
  <si>
    <t>Wojewódzkiego Ośrodka Medycyny Pracy w Rzeszowie</t>
  </si>
  <si>
    <t>Realizacja zadania inwestycyjnego pn.: 
1) „Budowa stacji wyjazdowej pogotowia ratunkowego” - 999.980,-zł,
2) "Dofinansowanie zakupu specjalistycznego sprzętu na doposażenie zespołów ratownictwa medycznego" - 150.000,-zł.</t>
  </si>
  <si>
    <t>Wojewódzkiej Stacji Pogotowia Ratunkowego w Przemyślu</t>
  </si>
  <si>
    <t>Realizacja zadań inwestycyjnych pn.: 
1) "Modernizacja warsztatów naprawczych w budynku Wojewódzkiej Stacji Pogotowia Ratunkowego w Rzeszowie ul. Wyzwolenia 4" - 509.156,-zł,
2) "Zakup dwóch ambulansów z noszami elektrycznymi na potrzeby realizacji zadań Państwowego Ratownictwa Medycznego i zadań statutowych" - 1.293.500,-zł.</t>
  </si>
  <si>
    <t>Wojewódzka Stacja Pogotowia Ratunkowego w Rzeszowie</t>
  </si>
  <si>
    <t xml:space="preserve">Realizacja zadań inwestycyjnych pn.:  
1) "E-usługi w Obwodzie Lecznictwa Kolejowego w Rzeszowie" - 1.321.417,-zł.
2) "Zakup sprzętu medycznego" - 158.842,-zł.   </t>
  </si>
  <si>
    <t xml:space="preserve">Realizacja zadania inwestycyjnego pn.:
Dotacja celowa na realizację zadania pn. "Poprawa efektywności funkcjonowania podmiotów leczniczych poprzez wdrożenie scentralizowanej platformy zakupowej" </t>
  </si>
  <si>
    <t xml:space="preserve">Podkarpackie Centrum Medyczne SP ZOZ </t>
  </si>
  <si>
    <t>Realizacja zadań inwestycyjnych pn.: 
1) "Wymiana dźwigu osobowego (windy) w budynku WZS w Rzeszowie" - 246.480,-zł,
2) "Zakup aparatury i sprzętu medycznego” - 1.410.276,-zł.</t>
  </si>
  <si>
    <t>Wojewódzki Zespół Specjalistyczny w Rzeszowie</t>
  </si>
  <si>
    <t>Realizacja zadań inwestycyjnych pn.: 
1) "Przebudowa budynku nr 2 wraz z zakupem pierwszego wyposażenia" - 174.720,-zł. 
2) "Modernizacja i rozwój e-usług w ramach Podkarpackiego Systemu Informacji Medycznej (PSIM) w Wojewódzkim Podkarpackim Szpitalu Psychiatrycznym im. prof. Eugeniusza Brzezickiego w Żurawicy"- 236.160,-zł.
3) "Zakup sprzętu medycznego oraz platformianego wózka elektrycznego" -  121.006,-zł,
4) "Termomodernizacja budynku nr 4 w WPSP w Żurawicy" - 87.859,-zł.</t>
  </si>
  <si>
    <t>Dotacje celowe na realizację zadania pn.:
1) realizację programów z zakresu promocji zdrowia - 30.000,-zł,
2) remont stacji uzdatniania wody - 119.808,-zł.</t>
  </si>
  <si>
    <t xml:space="preserve">Wojewódzki Podkarpacki Szpital Psychiatryczny im. prof. Eugeniusza Brzezickiego w Żurawicy </t>
  </si>
  <si>
    <t>Realizacja zadań inwestycyjnych pn. : 
1) "Modernizacja i rozbudowa budynku Nr 1" - 4.540.612,-zł.
2) "Modernizacja i rozbudowa budynku Nr 8" - 5.551.840,-zł,
3) "E-usługi w specjalistycznym Psychiatrycznym Zespole Opieki Zdrowotnej im. prof. Antoniego Kępińskiego w Jarosławiu" - 34.200,-zł.</t>
  </si>
  <si>
    <t>Specjalistyczny Psychiatryczny Zespół Opieki Zdrowotnej im A. Kępińskiego w Jarosławiu</t>
  </si>
  <si>
    <t>Realizacja zadania inwestycyjnego pn.: 
1) „Poprawa stanu technicznego obiektów użytkowych Szpitala poprzez wymianę dźwigów  windowych w budynkach Wojewódzkiego Szpitala w Tarnobrzegu” – 1.800.248,-zł,
2) „Rozwój systemu ratownictwa medycznego poprzez budowę lądowiska dla Szpitalnego Oddziału Ratunkowego Wojewódzkiego Szpitala im. Zofii z Zamoyskich Tarnowskiej w Tarnobrzegu” – 82.194,-zł.
3) „Zakup mammografu wraz z wyposażeniem na Potrzeby Zakładu Diagnostyki Obrazowej Wojewódzkiego Szpitala w Tarnobrzegu” – 1.281.280,-zł
4) „Zakup kotła parowego  wraz z wyposażeniem i  montażem” - 591.360,-zł,
5) „Zakup sterylizatora wraz z wyposażeniem (myjnią i wózkami transportowymi) na potrzeby Centralnej Sterylizatorni Wojewódzkiego Szpitala w Tarnobrzegu” – 534.195,-zł,
6) „Modernizacja Oddziału Neurologii poprzez rozszerzenie  o Pododdział  Udarowy polegająca na  przebudowie  pomieszczeń I pietra Pawilonu  F1 wraz  z zakupem  sprzętu i aparatury medycznej w Wojewódzkim Szpitalu im. Zofii z Zamoyskich Tarnowskiej w Tarnobrzegu” - 7.426.191,-zł.
7) „Wdrożenie elektronicznej dokumentacji medycznej oraz uruchomienie e-usług dla pacjentów Wojewódzkiego Szpitala im. Zofii z Zamoyskich Tarnowskiej w Tarnobrzegu” – 244.050,-zł.</t>
  </si>
  <si>
    <t>Wojewódzki Szpital im. Zofii z Zamoyskich Tarnowskiej w Tarnobrzegu</t>
  </si>
  <si>
    <t>10 cd.</t>
  </si>
  <si>
    <t>Dotacje celowe na realizację zadania pn.:
1) "Poprawę stanu technicznego obiektów użytkowych Szpitala poprzez remont pokryć dachowych na budynkach Wojewódzkiego Szpitala im. Zofii Zamoyskich Tarnowskiej w Tarnobrzegu" - 532.224,-zł,
2) "Poprawę stanu technicznego obiektów użytkowych Szpitala poprzez remont oświetlenia awaryjnego w budynkach Wojewódzkiego Szpitala im. Zofii Zamoyskich Tarnowskiej w Tarnobrzegu" - 56.081,-zł.</t>
  </si>
  <si>
    <t>Dotacja celowa na realizację programów z zakresu promocji zdrowia</t>
  </si>
  <si>
    <t xml:space="preserve">Wojewódzki Szpital im. Św. Ojca Pio w Przemyślu </t>
  </si>
  <si>
    <t xml:space="preserve">Realizacja zadania inwestycyjnego pn.: 
1) „Montaż systemu sygnalizacji pożaru oraz drzwi  ppoż. rozdzielających strefy ppoż. w budynkach Szpitala" – 195.440,-zł
2) „Zakup sprzętu i aparatury medycznej dla Wojewódzkiego Szpitala Podkarpackiego  im. Jana Pawła II w Krośnie” - 1.377.852,-zł,     
3) „Zakup optycznego tomografu koherentnego (OCT)” – 371.336,-zł,
4) „Zakup tomografu komputerowego z adaptacją i dostosowaniem pomieszczeń” – 4.104.240,-zł,
5) „Poprawa dostępności do kompleksu budynków Wojewódzkiego Szpitala Podkarpackiego im. Jana Pawła II w Krośnie poprzez przebudowę układu komunikacyjnego i parkingów- etap I” – 4.846.912,-zł. </t>
  </si>
  <si>
    <t>Dotacje celowe na realizację zadań pn.:
1) realizację programów z zakresu promocji zdrowia - 49.000,-zł,
2) "Wymianę posadzek na posadzki z wykładziny PCV oraz wymiana drzwi w pomieszczeniach Wojewódzkiego Szpitala Podkarpackiego im. Jana Pawła II w Krośnie" - 1.201.956,-zł.</t>
  </si>
  <si>
    <t>Wojewódzki Szpital Podkarpacki im. Jana Pawła II w Krośnie</t>
  </si>
  <si>
    <t>Realizacja zadań inwestycyjnych pn.: 
1) „Rozszerzenie działalności Podkarpackiego Centrum Zdrowia Dziecka wraz z rozbudową Klinicznego Szpitala Wojewódzkiego Nr 2 im. Św. Jadwigi Królowej w Rzeszowie” – 378.971,-zł.
2) „Przebudowa Izby przyjęć Dzieci poprzez adaptację pomieszczeń na potrzeby gabinetu lekarskiego (pediatrycznego) i sali obserwacyjnej dzieci” - 953.760,-zł.
3) „Przebudowa i poprawa funkcjonalności kompleksu kuchennego w celu spełnienia wymogów sanitarnych i systemu HACCP wraz ze zmianą i optymalizacją procesu technologicznego przygotowania posiłków” – 496.750,-zł.
4) „Modernizacja Kliniki Kardiologii z Pododdziałem Ostrych Zespołów Wieńcowych w Klinicznym Szpitalu Wojewódzkim Nr 2 im. Św. Jadwigi Królowej w Rzeszowie” – 496.750,-zł.
5) „Przebudowa Bloku Operacyjnego Ogólnego oraz przebudowa budynku B na potrzeby Pododdziału Chirurgii Naczyniowej w Klinice Kardiochirurgii w Klinicznym Szpitalu Wojewódzkim Nr 2 im. Św. Jadwigi Królowej w Rzeszowie” - 993.760,-zł.
6) „E-usługi w Klinicznym Szpitalu Wojewódzkim Nr 2 im. Św. Jadwigi Królowej w Rzeszowie” - 34.200,-zł.
7) „Zakup sprzętu i aparatury medycznej” – 16.162.355,-zł,
8) „Przebudowa budynku Histopatologii i Patomorfologii w Klinicznym Szpitalu Nr 2 im. Św. Jadwigi Królowej w Rzeszowie" – 13.038.970,-zł.
9) „Modernizacja Kliniki Ortopedii w KSW nr 2 w Rzeszowie” -12.007.008,-zł.</t>
  </si>
  <si>
    <t xml:space="preserve">Kliniczny Szpital Wojewódzki Nr 2 im. Św. Jadwigi Królowej w Rzeszowie </t>
  </si>
  <si>
    <t>Realizacja zadań inwestycyjnych pn.: 
1) „Modernizacja  i adaptacja pomieszczeń Kliniki Neurologii na potrzeby Kliniki Psychiatrii Ogólnej z utworzeniem Izby Przyjęć dla pacjentów psychiatrycznych” – 1.485.180,-zł.
2) "E-usługi w Klinicznym Szpitalu Wojewódzkim Nr 1 im. Fryderyka Chopina w Rzeszowie" – 40.350,-zł,
3) "Zakup pięciu aparatów do znieczuleń" - 900.000,-zł,
4) „Profilaktyka, diagnostyka i kompleksowe leczenie chorób układu oddechowego z chirurgicznym i chemicznym leczeniem nowotworów klatki piersiowej na oddziałach klinicznych oraz rehabilitacją" – 20.969.038,-zł.
5)„Przebudowa pomieszczeń II piętra w budynku „A” i „BG” użytkowanych przez Klinikę Ginekologii i Położnictwa w Klinicznym Szpitalu Wojewódzkim nr 1 im. Fryderyka Chopina w Rzeszowie" - 9.718.337,-zł.</t>
  </si>
  <si>
    <t>Kliniczny Szpital Wojewódzki Nr 1 im. Fryderyka Chopina w Rzeszowie</t>
  </si>
  <si>
    <t>Wpłata na Wojewódzki Fundusz Wsparcia Państwowej Straży Pożarnej  z przeznaczeniem na zakup sprzętu i wyposażenia specjalistycznego.</t>
  </si>
  <si>
    <t>75410</t>
  </si>
  <si>
    <t>Komenda Wojewódzka Państwowej Staży Pożarnej w Rzeszowie</t>
  </si>
  <si>
    <t>Wpłata na Fundusz Wsparcia Bieszczadzkiego Oddziału Straży Granicznej  im. gen. bryg. Jana Tomasza Gorzechowskiego w Przemyślu z przeznaczeniem na zakup sprzętu i wyposażenia specjalistycznego.</t>
  </si>
  <si>
    <t>75406</t>
  </si>
  <si>
    <t>Bieszczadzki Oddział Straży Granicznej w Przemyślu</t>
  </si>
  <si>
    <t>Wpłata na Wojewódzki Fundusz Wsparcia Policji z przeznaczeniem na zakup sprzętu i wyposażenia specjalistycznego.</t>
  </si>
  <si>
    <t>75404</t>
  </si>
  <si>
    <t>754</t>
  </si>
  <si>
    <t>Komenda Wojewódzka Policji 
w Rzeszowie</t>
  </si>
  <si>
    <t xml:space="preserve">Dotacje celowe dla związków gmin i związków powiatowo - gminnych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 </t>
  </si>
  <si>
    <t>Dotacje celowe dla  powiatów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</si>
  <si>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dla  gmin -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</si>
  <si>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60003</t>
  </si>
  <si>
    <t>600</t>
  </si>
  <si>
    <t xml:space="preserve">Jednostki samorządu terytorialnego </t>
  </si>
  <si>
    <t xml:space="preserve">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retencji. </t>
  </si>
  <si>
    <t>Dotacje celowe dla gmin z przeznaczeniem na budowę i modernizację dróg dojazdowych do gruntów rolnych oraz budowę i renowację zbiorników wodnych służących małej retencji.</t>
  </si>
  <si>
    <t>Dotacje celowe dla powiatów z przeznaczeniem na zakup sprzętu pomiarowego i informatycznego oraz oprogramowania niezbędnego do prowadzenia spraw ochrony gruntów rolnych, modernizację dróg dojazdowych do gruntów rolnych oraz renowację zbiorników wodnych służących małej retencji.</t>
  </si>
  <si>
    <t>Dotacje celowe dla gmin z przeznaczeniem na modernizację dróg dojazdowych do gruntów rolnych, renowację zbiorników wodnych służących małej retencji oraz użyźnianie gleb o niskiej wartości produkcyjnej, ulepszanie rzeźby terenu 
i struktury przestrzennej gleb, usuwanie kamieni i odkrzaczanie.</t>
  </si>
  <si>
    <t>Jednostki samorządu terytorialnego wg podziału dokonywanego przez Zarząd</t>
  </si>
  <si>
    <t>w  złotych</t>
  </si>
  <si>
    <t xml:space="preserve">SZCZEGÓŁOWY PODZIAŁ DOTACJI CELOWYCH Z BUDŻETU DLA JEDNOSTEK SEKTORA FINANSÓW PUBLICZNYCH </t>
  </si>
  <si>
    <t xml:space="preserve">na zadania i cele publiczne z zakresu kultury fizycznej i sportu </t>
  </si>
  <si>
    <t>92605</t>
  </si>
  <si>
    <t>926</t>
  </si>
  <si>
    <t xml:space="preserve">na realizację zadania publicznego z zakresu ochrony dziedzictwa przyrodniczego poprzez działania edukacyjne dotyczące ochrony walorów krajobrazowych województwa podkarpackiego w szczególności na obszarach chronionego krajobraz </t>
  </si>
  <si>
    <t>92595</t>
  </si>
  <si>
    <t>925</t>
  </si>
  <si>
    <t>na zadania i cele z zakresu ochrony i konserwacji zabytków - szczegółowy podział dotacji zgodnie z zasadami udzielania dotacji dokonany zostanie odrębną uchwałą Sejmiku Województwa</t>
  </si>
  <si>
    <t>92120</t>
  </si>
  <si>
    <t>na zadania i cele publiczne z zakresu kultury</t>
  </si>
  <si>
    <t>92105</t>
  </si>
  <si>
    <t>921</t>
  </si>
  <si>
    <t>na realizację zadania publicznego z zakresu edukacji ekologicznej dotyczącej jakości powietrza</t>
  </si>
  <si>
    <t>90005</t>
  </si>
  <si>
    <t>900</t>
  </si>
  <si>
    <t>na zadania z zakresu zapewnienia instytucjonalnej pieczy zastępczej (wsparcie prowadzenia regionalnych placówek opiekuńczo-terapeutycznych)</t>
  </si>
  <si>
    <t>85510</t>
  </si>
  <si>
    <t>na zadania i cele z zakresu wspierania rodziny i systemu pieczy zastępczej w ramach "Wojewódzkiego Programu Wspierania Rodziny i Systemu Pieczy Zastępczej"</t>
  </si>
  <si>
    <t>85504</t>
  </si>
  <si>
    <t>855</t>
  </si>
  <si>
    <t xml:space="preserve">na zadania i cele z zakresu rehabilitacji zawodowej i społecznej oraz zatrudniania osób niepełnosprawnych w ramach "Wojewódzkiego Programu na Rzecz Wyrównywania Szans Osób Niepełnosprawnych i Przeciwdziałania ich Wykluczeniu Społecznemu" </t>
  </si>
  <si>
    <t>85311</t>
  </si>
  <si>
    <t>853</t>
  </si>
  <si>
    <t xml:space="preserve">na zadania i cele z zakresu pomocy społecznej w ramach "Wojewódzkiego Programu Pomocy Społecznej" </t>
  </si>
  <si>
    <t>85217</t>
  </si>
  <si>
    <t xml:space="preserve">na zadania i cele z zakresu przeciwdziałania przemocy w rodzinie w ramach "Wojewódzkiego Programu Przeciwdziałania Przemocy w Rodzinie" </t>
  </si>
  <si>
    <t>85205</t>
  </si>
  <si>
    <t>852</t>
  </si>
  <si>
    <t>na realizację zadań związanych z ochroną zdrowia psychicznego, wynikających z "Podkarpackiego Programu Ochrony Zdrowia Psychicznego"</t>
  </si>
  <si>
    <t>na zadania i cele publiczne z zakresu wychowywania w trzeźwości  i przeciwdziałania alkoholizmowi w ramach "Wojewódzkiego Programu Profilaktyki i Rozwiązywania Problemów Alkoholowych oraz Przeciwdziałania Narkomanii na lata 2022-2030"</t>
  </si>
  <si>
    <t>85154</t>
  </si>
  <si>
    <t>na zadania i cele publiczne z zakresu przeciwdziałania narkomanii w ramach  "Wojewódzkiego Programu Profilaktyki i Rozwiązywania Problemów Alkoholowych oraz Przeciwdziałania Narkomanii na lata 2022-2030"</t>
  </si>
  <si>
    <t>85153</t>
  </si>
  <si>
    <t>851</t>
  </si>
  <si>
    <t xml:space="preserve">na zadania i cele publiczne z zakresu ratownictwa górskiego i wodnego </t>
  </si>
  <si>
    <t xml:space="preserve">na organizację wydarzeń popularyzujących naukę </t>
  </si>
  <si>
    <t>730</t>
  </si>
  <si>
    <t>na powierzenie i dofinansowanie zadań z zakresu turystyki w obszarach wynikających z zapisów Strategii rozwoju i komunikacji marketingowej turystyki województwa podkarpackiego na lata 2020-2025</t>
  </si>
  <si>
    <t>63003</t>
  </si>
  <si>
    <t>630</t>
  </si>
  <si>
    <t>1) "Organizowanie kolejowych przewozów pasażerskich realizowanych w ramach przewozów wojewódzkich" - 95.843.327,-zł,
2) "Organizowanie kolejowych przewozów pasażerskich realizowanych w ramach Podmiejskiej Kolei Aglomeracyjnej - PKA" - 41.294.879,-zł.</t>
  </si>
  <si>
    <t>na realizację Programu aktywizacji gospodarczo-turystycznej województwa podkarpackiego poprzez promocję cennych przyrodniczo i krajobrazowo terenów łąkowo-pastwiskowych z zachowaniem bioróżnorodności w oparciu o naturalny wypas zwierząt gospodarskich i owadopylności - "Podkarpacki Naturalny Wypas III"</t>
  </si>
  <si>
    <t xml:space="preserve"> bieżące </t>
  </si>
  <si>
    <t>Ogółem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</si>
  <si>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</si>
  <si>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 xml:space="preserve">OGÓŁEM </t>
  </si>
  <si>
    <t>Dopłaty do krajowych autobusowych przewozów pasażerskich z tytułu stosowania w tych przewozach ustawowych ulg</t>
  </si>
  <si>
    <t>2630</t>
  </si>
  <si>
    <t xml:space="preserve">Krajowe pasażerskie przewozy autobusowe </t>
  </si>
  <si>
    <t>Przeznaczenie</t>
  </si>
  <si>
    <t xml:space="preserve">w  tym :  </t>
  </si>
  <si>
    <t>Nazwa</t>
  </si>
  <si>
    <t xml:space="preserve"> WYKAZ DOTACJI  PRZEDMIOTOWYCH DLA JEDNOSTEK SPOZA SEKTORA FINANSÓW PUBLICZNYCH</t>
  </si>
  <si>
    <t>WYDATKI OGÓŁEM</t>
  </si>
  <si>
    <t>Na realizację zadania pn. „Przygotowanie studium uwarunkowań i kierunków zagospodarowania przestrzennego oraz miejscowego planu zagospodarowania przestrzennego niezbędnego do utworzenia strefy inwestycyjnej na terenie Gminy Świlcza"</t>
  </si>
  <si>
    <t>Plany zagospodarowania przestrzennego</t>
  </si>
  <si>
    <t>71004</t>
  </si>
  <si>
    <t>710</t>
  </si>
  <si>
    <t>Na realizację zadania pn. "Budowa kładki rowerowo - pieszej nad Jeziorem Solińskim".</t>
  </si>
  <si>
    <t xml:space="preserve"> Gmina Solina</t>
  </si>
  <si>
    <t>Drogi publiczne gminne</t>
  </si>
  <si>
    <t>60016</t>
  </si>
  <si>
    <t xml:space="preserve">1) „Rozbudowa łącznika autostrady A4 na odcinku od granicy miasta Rzeszowa do węzła Rzeszów – Północ – etap I” - 210.000,-zł,
2) „Rozbudowa łącznika drogi ekspresowej S19 – drogi powiatowej na odcinku od węzła Rzeszów – Południe do drogi krajowej nr 19 – etap I” - 850.926,-zł.  </t>
  </si>
  <si>
    <t>Powiat Rzeszowski</t>
  </si>
  <si>
    <t xml:space="preserve">Drogi publiczne powiatowe </t>
  </si>
  <si>
    <t>60014</t>
  </si>
  <si>
    <t>Jednostka samorządu</t>
  </si>
  <si>
    <t>w tym wydatki:</t>
  </si>
  <si>
    <t>WYDATKI  NA  POMOC  FINANSOWĄ  UDZIELANĄ  INNYM  JEDNOSTKOM  SAMORZĄDU  TERYTORIALNEGO
NA  DOFINANSOWANIE  WŁASNYCH ZADAŃ BIEŻĄCYCH ORAZ ZADAŃ INWESTYCYJNYCH I ZAKUPÓW INWESTYCYJNYCH</t>
  </si>
  <si>
    <t>Realizacja porozumienia dotyczącego dofinansowania zadań związanych z funkcjonowaniem Domu Polski Wschodniej w Brukseli</t>
  </si>
  <si>
    <t>Województwo Warmińsko-Mazurskie</t>
  </si>
  <si>
    <t>Gmina Bojanów</t>
  </si>
  <si>
    <t>Gmina Wiśniowa</t>
  </si>
  <si>
    <t>Gmina Radomyśl nad Sanem</t>
  </si>
  <si>
    <t>Gmina Wielopole Skrzyńskie</t>
  </si>
  <si>
    <t>Gmina Harasiuki</t>
  </si>
  <si>
    <t>Gmina Jeżowe</t>
  </si>
  <si>
    <t>Gmina Krzeszów</t>
  </si>
  <si>
    <t>Gmina Wojaszówka</t>
  </si>
  <si>
    <t xml:space="preserve">"Dofinansowanie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COVID-19" </t>
  </si>
  <si>
    <t>Gmina Rymanów</t>
  </si>
  <si>
    <t xml:space="preserve">"Opracowanie dokumentacji przebudowy przepustu drogowego na ulicy Mieleckiej w Kolbuszowej Dolnej w km 25+968" </t>
  </si>
  <si>
    <t>Gmina Kolbuszowa</t>
  </si>
  <si>
    <t xml:space="preserve">WYKAZ DOTACJI CELOWYCH NA ZADANIA POWIERZONE DO REALIZACJI 
INNYM JEDNOSTKOM SAMORZĄDU TERYTORIALNEGO </t>
  </si>
  <si>
    <t>.</t>
  </si>
  <si>
    <t xml:space="preserve">       OGÓŁEM </t>
  </si>
  <si>
    <t>Podkarpacki Zespół Placówek Wojewódzkich w Rzeszowie</t>
  </si>
  <si>
    <t>Rozdział 85417</t>
  </si>
  <si>
    <t>Medyczno-Społeczne Centrum Kształcenia Zawodowego 
i Ustawicznego w Rzeszowie</t>
  </si>
  <si>
    <t>Rozdział 85410</t>
  </si>
  <si>
    <t>DZIAŁ 854</t>
  </si>
  <si>
    <t>Rozdział 80147</t>
  </si>
  <si>
    <t>Rozdział 80146</t>
  </si>
  <si>
    <t xml:space="preserve">Medyczno-Społeczne Centrum Kształcenia Zawodowego 
i Ustawicznego w Mielcu                         </t>
  </si>
  <si>
    <t xml:space="preserve">Medyczno-Społeczne Centrum Kształcenia Zawodowego 
i Ustawicznego w Sanoku                         </t>
  </si>
  <si>
    <t>Medyczno-Społeczne Centrum Kształcenia Zawodowego 
i Ustawicznego w Jaśle</t>
  </si>
  <si>
    <t>Medyczno-Społeczne Centrum Kształcenia Zawodowego 
i Ustawicznego w Przemyślu</t>
  </si>
  <si>
    <t>Rozdział 80130</t>
  </si>
  <si>
    <t>Zespół Szkół Specjalnych w Rymanowie Zdroju</t>
  </si>
  <si>
    <t xml:space="preserve">Zespół Szkół przy Klinicznym Szpitalu Wojewódzkim Nr 2 w Rzeszowie                 </t>
  </si>
  <si>
    <t>Rozdział 80102</t>
  </si>
  <si>
    <t>DZIAŁ 801</t>
  </si>
  <si>
    <t>Wydatki</t>
  </si>
  <si>
    <t>Dochody</t>
  </si>
  <si>
    <t>Nazwa  jednostki</t>
  </si>
  <si>
    <t xml:space="preserve">PLAN DOCHODÓW GROMADZONYCH NA WYODRĘBNIONYM RACHUNKU PRZEZ WOJEWÓDZKIE OŚWIATOWE JEDNOSTKI BUDŻETOWE, 
ORAZ WYDATKÓW NIMI FINANSOWANYCH </t>
  </si>
  <si>
    <t>Biblioteki</t>
  </si>
  <si>
    <t>92116</t>
  </si>
  <si>
    <t>KULTURA I OCHRONA 
DZIEDZICTWA NARODOWEGO</t>
  </si>
  <si>
    <t>Działalność placówek opiekuńczo-wychowawczych</t>
  </si>
  <si>
    <t>pozostałe 
wydatki bieżące</t>
  </si>
  <si>
    <t>dotacje na zadania bieżące</t>
  </si>
  <si>
    <t>wynagrodzenia 
i składki od nich naliczane</t>
  </si>
  <si>
    <t>Wydatki 
majątkowe</t>
  </si>
  <si>
    <t>Wydatki 
bieżące</t>
  </si>
  <si>
    <t>Wydatki 
OGÓŁEM</t>
  </si>
  <si>
    <t xml:space="preserve">WYDATKI  NA  ZADANIA  REALIZOWANE  NA  PODSTAWIE  POROZUMIEŃ  
Z  JEDNOSTKAMI  SAMORZĄDU  TERYTORIALNEGO  </t>
  </si>
  <si>
    <t>Kwota</t>
  </si>
  <si>
    <t xml:space="preserve">Rozdział </t>
  </si>
  <si>
    <t xml:space="preserve">DOCHODY Z TYTUŁU DOTACJI OTRZYMANYCH NA PODSTAWIE POROZUMIEŃ 
Z JEDNOSTKAMI SAMORZĄDU TERYTORIALNEGO  </t>
  </si>
  <si>
    <t xml:space="preserve">ZESTAWIENIE  DOCHODÓW  I  WYDATKÓW  ZWIĄZANYCH  
Z  REALIZACJĄ  ZADAŃ  WSPÓLNYCH  REALIZOWANYCH  NA  PODSTAWIE 
POROZUMIEŃ  MIĘDZY  JEDNOSTKAMI  SAMORZĄDU  TERYTORIALNEGO </t>
  </si>
  <si>
    <t>3. Wniesienie wkładów do spółek prawa handlowego</t>
  </si>
  <si>
    <t>2. Zakup i objęcie akcji i udziałów</t>
  </si>
  <si>
    <t xml:space="preserve">   - na programy finansowane z udziałem środków UE i źródeł zagranicznych</t>
  </si>
  <si>
    <t>1. Inwestycje i zakupy inwestycyjne, z tego:</t>
  </si>
  <si>
    <t>II. Wydatki majątkowe, w tym:</t>
  </si>
  <si>
    <t>6. Obsługa długu JST</t>
  </si>
  <si>
    <t>5. Wypłaty z tytułu poręczeń i gwarancji</t>
  </si>
  <si>
    <t>4. Wydatki na programy finansowane z udziałem środków UE i źródeł zagranicznych</t>
  </si>
  <si>
    <t>3. Świadczenia na rzecz osób fizycznych</t>
  </si>
  <si>
    <t>2. Dotacje na zadania bieżące</t>
  </si>
  <si>
    <t xml:space="preserve">    - wydatki związane z realizacją ich statutowych zadań</t>
  </si>
  <si>
    <t xml:space="preserve">    - wynagrodzenia i składki od nich naliczane</t>
  </si>
  <si>
    <t>1. Wydatki jednostek budżetowych, z tego:</t>
  </si>
  <si>
    <t>I. Wydatki bieżące, w tym:</t>
  </si>
  <si>
    <t>Razem:</t>
  </si>
  <si>
    <t>Dotacja celowa na pomoc finansową  udzielaną między jednostkami samorządu terytorialnego na dofinansowanie własnych zadań inwestycyjnych i zakupów inwestycyjnych</t>
  </si>
  <si>
    <t>6300</t>
  </si>
  <si>
    <t>inwestycje i zakupy inwestycyjne</t>
  </si>
  <si>
    <t>wydatki majątkowe:</t>
  </si>
  <si>
    <t xml:space="preserve">Dotacja celowa na pomoc finansową udzielaną między jednostkami samorządu terytorialnego na dofinansowanie własnych zadań bieżących </t>
  </si>
  <si>
    <t>dotacje na zadania bieżące:</t>
  </si>
  <si>
    <t>wydatki bieżące:</t>
  </si>
  <si>
    <t>92695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</si>
  <si>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</si>
  <si>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>6190</t>
  </si>
  <si>
    <t>Stypendia różne</t>
  </si>
  <si>
    <t>3250</t>
  </si>
  <si>
    <t>Nagrody o charakterze szczególnym niezaliczone do wynagrodzeń</t>
  </si>
  <si>
    <t>3040</t>
  </si>
  <si>
    <t>świadczenia na rzecz osób fizycznych:</t>
  </si>
  <si>
    <t>Dotacja celowa z budżetu na finansowanie lub dofinansowanie zadań zleconych do realizacji stowarzyszeniom</t>
  </si>
  <si>
    <t>2820</t>
  </si>
  <si>
    <t>Dotacja celowa na pomoc finansową udzielaną między jednostkami samorządu terytorialnego na dofinansowanie własnych zadań bieżących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</si>
  <si>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</si>
  <si>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 na zadania bieżące:</t>
  </si>
  <si>
    <t>Zakup usług pozostałych</t>
  </si>
  <si>
    <t>4300</t>
  </si>
  <si>
    <t>Zakup materiałów i wyposażenia</t>
  </si>
  <si>
    <t xml:space="preserve"> - wydatki związane z realizacją zadań statutowych jednostek budżetowych</t>
  </si>
  <si>
    <t>Składki na Fundusz Pracy oraz Fundusz Solidarnościowy</t>
  </si>
  <si>
    <t>4120</t>
  </si>
  <si>
    <t>Składki na ubezpieczenia społeczne</t>
  </si>
  <si>
    <t>4110</t>
  </si>
  <si>
    <t xml:space="preserve"> - wynagrodzenia i składki od nich naliczane</t>
  </si>
  <si>
    <t>wydatki jednostek budżetowych w tym na:</t>
  </si>
  <si>
    <t>Zadania w zakresie kultury fizycznej</t>
  </si>
  <si>
    <t>92604</t>
  </si>
  <si>
    <t>Obiekty sportowe</t>
  </si>
  <si>
    <t>92601</t>
  </si>
  <si>
    <t>Kultura fizyczna</t>
  </si>
  <si>
    <t>Wynagrodzenia bezosobowe</t>
  </si>
  <si>
    <t>4170</t>
  </si>
  <si>
    <t>OS</t>
  </si>
  <si>
    <t>wydatki na programy finansowane z udziałem środków UE i źródeł zagranicznych</t>
  </si>
  <si>
    <t>Różne wydatki na rzecz osób fizycznych</t>
  </si>
  <si>
    <t>3030</t>
  </si>
  <si>
    <t>Wydatki osobowe niezaliczone do wynagrodzeń</t>
  </si>
  <si>
    <t>3020</t>
  </si>
  <si>
    <t xml:space="preserve">Szkolenia pracowników niebędących członkami korpusu służby cywilnej </t>
  </si>
  <si>
    <t>4700</t>
  </si>
  <si>
    <t>Podatek od nieruchomości</t>
  </si>
  <si>
    <t>4480</t>
  </si>
  <si>
    <t>Odpisy na zakładowy fundusz świadczeń socjalnych</t>
  </si>
  <si>
    <t>4440</t>
  </si>
  <si>
    <t>Różne opłaty i składki</t>
  </si>
  <si>
    <t>4430</t>
  </si>
  <si>
    <t>Podróże służbowe zagraniczne</t>
  </si>
  <si>
    <t>4420</t>
  </si>
  <si>
    <t>Podróże służbowe krajowe</t>
  </si>
  <si>
    <t>4410</t>
  </si>
  <si>
    <t>Opłaty za administrowanie i czynsze za budynki, lokale i pomieszczenia garażowe</t>
  </si>
  <si>
    <t>4400</t>
  </si>
  <si>
    <t>Zakup usług obejmujących wykonanie ekspertyz, analiz i opinii</t>
  </si>
  <si>
    <t>4390</t>
  </si>
  <si>
    <t>Opłaty z tytułu zakupu usług telekomunikacyjnych</t>
  </si>
  <si>
    <t>4360</t>
  </si>
  <si>
    <t>Zakup usług zdrowotnych</t>
  </si>
  <si>
    <t>4280</t>
  </si>
  <si>
    <t>Zakup usług remontowych</t>
  </si>
  <si>
    <t>4270</t>
  </si>
  <si>
    <t>Zakup energii</t>
  </si>
  <si>
    <t>4260</t>
  </si>
  <si>
    <t>Zakup środków dydaktycznych i książek</t>
  </si>
  <si>
    <t>4240</t>
  </si>
  <si>
    <t>Zakup środków żywności</t>
  </si>
  <si>
    <t>4220</t>
  </si>
  <si>
    <t>Nagrody konkursowe</t>
  </si>
  <si>
    <t>4190</t>
  </si>
  <si>
    <t>Wpłaty na PPK finansowane przez podmiot zatrudniający</t>
  </si>
  <si>
    <t>4710</t>
  </si>
  <si>
    <t>Dodatkowe wynagrodzenie roczne</t>
  </si>
  <si>
    <t>4040</t>
  </si>
  <si>
    <t>Wynagrodzenia osobowe pracowników</t>
  </si>
  <si>
    <t>4010</t>
  </si>
  <si>
    <t>92502</t>
  </si>
  <si>
    <t>Dotacje celowe z budżetu na finansowanie lub dofinansowanie kosztów realizacji inwestycji i zakupów inwestycyjnych innych jednostek sektora finansów publicznych</t>
  </si>
  <si>
    <t>Parki narodowe</t>
  </si>
  <si>
    <t>92501</t>
  </si>
  <si>
    <t>Ogrody botaniczne i zoologiczne oraz naturalne obszary i obiekty chronionej przyrody</t>
  </si>
  <si>
    <t>Zwroty niewykorzystanych dotacji oraz płatności, dotyczące wydatków majątkowych</t>
  </si>
  <si>
    <t>Wydatki inwestycyjne jednostek budżetowych</t>
  </si>
  <si>
    <t>- wydatki na programy finansowane z udziałem środków UE i źródeł zagranicznych</t>
  </si>
  <si>
    <t>RP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</si>
  <si>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</si>
  <si>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Dotacja celowa otrzymana od samorządu województwa na zadania bieżące realizowane na podstawie porozumień (umów) między jednostkami samorządu terytorialnego</t>
  </si>
  <si>
    <t>KZ</t>
  </si>
  <si>
    <t>92195</t>
  </si>
  <si>
    <t>Dotacje celowe otrzymane z budżetu przez użytkowników zabytków niebędących jednostkami budżetowymi na finansowanie i dofinansowanie prac remontowych i konserwatorskich przy tych zabytkach</t>
  </si>
  <si>
    <t>2730</t>
  </si>
  <si>
    <t>Dotacje celowe z budżetu na finansowanie lub dofinansowanie prac remontowych i konserwatorskich obiektów zabytkowych przekazane jednostkom niezaliczanym do sektora finansów publicznych</t>
  </si>
  <si>
    <t>2720</t>
  </si>
  <si>
    <t>Zakup usług remontowo-konserwatorskich dotyczących obiektów zabytkowych będących w użytkowaniu jednostek budżetowych</t>
  </si>
  <si>
    <t>4340</t>
  </si>
  <si>
    <t>Ochrona zabytków i opieka nad zabytkami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</si>
  <si>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</si>
  <si>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z budżetu dla pozostałych jednostek zaliczanych do sektora finansów publicznych</t>
  </si>
  <si>
    <t>2800</t>
  </si>
  <si>
    <t>Dotacja podmiotowa z budżetu dla samorządowej instytucji kultury</t>
  </si>
  <si>
    <t>2480</t>
  </si>
  <si>
    <t>Muzea</t>
  </si>
  <si>
    <t>92118</t>
  </si>
  <si>
    <t xml:space="preserve">Zwrot dotacji oraz płatności wykorzystanych niezgodnie z przeznaczeniem lub wykorzystanych z naruszeniem procedur, o których mowa w art. 184 ustawy, pobranych nienależnie lub w nadniernej wysokości 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</si>
  <si>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</si>
  <si>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4560</t>
  </si>
  <si>
    <t>Wpłaty na Państwowy Fundusz Rehabilitacji Osób Niepełnosprawnych</t>
  </si>
  <si>
    <t>4140</t>
  </si>
  <si>
    <t>Pozostałe instytucje kultury</t>
  </si>
  <si>
    <t>92114</t>
  </si>
  <si>
    <t>Galerie i biura wystaw artystycznych</t>
  </si>
  <si>
    <t>92110</t>
  </si>
  <si>
    <t>6229</t>
  </si>
  <si>
    <t>Zwrot niewykorzystanych dotacji oraz płatności, dotyczące wydatków majątkowych</t>
  </si>
  <si>
    <t>6690</t>
  </si>
  <si>
    <t>Domy i ośrodki kultury, świetlice i kluby</t>
  </si>
  <si>
    <t>92108</t>
  </si>
  <si>
    <t xml:space="preserve">Teatry </t>
  </si>
  <si>
    <t>92106</t>
  </si>
  <si>
    <t>Pozostałe zadania w zakresie kultury</t>
  </si>
  <si>
    <t>Kultura i ochrona dziedzictwa narodowego</t>
  </si>
  <si>
    <t>Składki na Fundusz Pracy oraz Solidarnościowy Fundusz Wsparcia Osób Niepełnosprawnych</t>
  </si>
  <si>
    <t>90095</t>
  </si>
  <si>
    <t>OR</t>
  </si>
  <si>
    <t>Pozostałe działania związane z gospodarką odpadami</t>
  </si>
  <si>
    <t>90026</t>
  </si>
  <si>
    <t>Składki na Fundusz Pracy</t>
  </si>
  <si>
    <t>Wpływy i wydatki związane z wprowadzeniem do obrotu baterii i akumulatorów</t>
  </si>
  <si>
    <t>90024</t>
  </si>
  <si>
    <t>Wpływy i wydatki związane z gromadzeniem środków z opłat produktowych</t>
  </si>
  <si>
    <t>90020</t>
  </si>
  <si>
    <t>Wydatki na zakupy inwestycyjne jednostek budżetowych</t>
  </si>
  <si>
    <t>Wpływy i wydatki związane z gromadzeniem środków z opłat i kar za korzystanie ze środowiska</t>
  </si>
  <si>
    <t>90019</t>
  </si>
  <si>
    <t>Oświetlenie ulic, placów i dróg</t>
  </si>
  <si>
    <t>90015</t>
  </si>
  <si>
    <t>90008</t>
  </si>
  <si>
    <t>Zmniejszenie hałasu i wibracji</t>
  </si>
  <si>
    <t>90007</t>
  </si>
  <si>
    <t>Utrzymanie zieleni w miastach i gminach</t>
  </si>
  <si>
    <t>90004</t>
  </si>
  <si>
    <t>Gospodarka odpadami</t>
  </si>
  <si>
    <t>90002</t>
  </si>
  <si>
    <t>Gospodarka komunalna i ochrona środowiska</t>
  </si>
  <si>
    <t>Wpływy ze zwrotów niewykorzystanych dotacji oraz płatności</t>
  </si>
  <si>
    <t>OZ</t>
  </si>
  <si>
    <t>Szkolenia pracowników niebędących członkami korpusu służby cywilnej</t>
  </si>
  <si>
    <t>Opłaty na rzecz budżetów jednostek budżetowych</t>
  </si>
  <si>
    <t>4520</t>
  </si>
  <si>
    <t>Opłata z tytułu zakupu usług telekomunikacyjnych</t>
  </si>
  <si>
    <t>85509</t>
  </si>
  <si>
    <t>Opłaty na rzecz budżetów jednostek samorządu terytorialnego</t>
  </si>
  <si>
    <t>4527</t>
  </si>
  <si>
    <t>4487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</si>
  <si>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</si>
  <si>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Rodziny zastępcze</t>
  </si>
  <si>
    <t>85508</t>
  </si>
  <si>
    <t xml:space="preserve">dotacje na zadania bieżące </t>
  </si>
  <si>
    <t>Karta Dużej Rodziny</t>
  </si>
  <si>
    <t>85503</t>
  </si>
  <si>
    <t>Rodzina</t>
  </si>
  <si>
    <t>Młodzieżowe ośrodki wychowawcze</t>
  </si>
  <si>
    <t>85420</t>
  </si>
  <si>
    <t>Dodatkowe wynagrodzenie roczne nauczycieli</t>
  </si>
  <si>
    <t>4800</t>
  </si>
  <si>
    <t>Wynagrodzenia osobowe nauczycieli</t>
  </si>
  <si>
    <t>4790</t>
  </si>
  <si>
    <t>Szkolne schroniska młodzieżowe</t>
  </si>
  <si>
    <t>85417</t>
  </si>
  <si>
    <t>Stypendia dla uczniów</t>
  </si>
  <si>
    <t>Pomoc materialna dla uczniów o charakterze motywacyjnym</t>
  </si>
  <si>
    <t>85410</t>
  </si>
  <si>
    <t>Edukacyjna opieka wychowawcza</t>
  </si>
  <si>
    <t>854</t>
  </si>
  <si>
    <t>Zwrot niewykorzystanych dotacji oraz płatności</t>
  </si>
  <si>
    <t xml:space="preserve">Zwrot dotacji oraz płatności wykorzystanych niezgodnie z przeznaczeniem lub wykorzystanych z naruszeniem procedur, o których mowa w art.. 184 ustawy, pobranych nienależnie lub w nadmiernej wysokości 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</si>
  <si>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</si>
  <si>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Koszty postępowania sądowego i prokuratorskiego</t>
  </si>
  <si>
    <t>Zakup usług obejmujących tłumaczenia</t>
  </si>
  <si>
    <t>RP GR</t>
  </si>
  <si>
    <t>GR</t>
  </si>
  <si>
    <t>4610</t>
  </si>
  <si>
    <t>4380</t>
  </si>
  <si>
    <t>Wojewódzkie urzędy pracy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</si>
  <si>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</si>
  <si>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 xml:space="preserve"> inwestycje i zakupy inwestycyjne</t>
  </si>
  <si>
    <t>Zwroty dotacji oraz płatności wykorzystanych niezgodnie z przeznaczeniem lub wykorzystanych z naruszeniem procedur, o których mowa w art. 184 ustawy, pobranych nienależnie lub w nadmiernej wysokości</t>
  </si>
  <si>
    <t>Dotacja podmiotowa z budżetu dla jednostek niezaliczanych do sektora finansów publicznych</t>
  </si>
  <si>
    <t>2580</t>
  </si>
  <si>
    <t>Dotacja podmiotowa z budżetu dla pozostałych jednostek sektora finansów publicznych</t>
  </si>
  <si>
    <t>2570</t>
  </si>
  <si>
    <t>Pozostałe zadania w zakresie polityki społecznej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</si>
  <si>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</si>
  <si>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</si>
  <si>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</si>
  <si>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</si>
  <si>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Odsetki od dotacji oraz płatności: wykorzystanych niezgodnie z przeznaczeniem lub wykorzystanych z naruszeniem procedur, o których mowa w art. 184 ustawy, pobranych nienależnie lub w nadmiernej wysokości</t>
  </si>
  <si>
    <t>4489</t>
  </si>
  <si>
    <t>3037</t>
  </si>
  <si>
    <t xml:space="preserve"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</si>
  <si>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Dotacja celowa dla jednostki spoza sektora finansów publicznych na finansowanie lub dofinansowanie zadań bieżących związanych z pomocą obywatelom Ukrainy</t>
  </si>
  <si>
    <t>2340</t>
  </si>
  <si>
    <t>Zakup usług związanych z pomocą obywatelom Ukrainy</t>
  </si>
  <si>
    <t>4370</t>
  </si>
  <si>
    <t>Zakup towarów (w szczególności materiałów, leków, żywności) w związku z pomocą obywatelom Ukrainy</t>
  </si>
  <si>
    <t>4350</t>
  </si>
  <si>
    <t>85279</t>
  </si>
  <si>
    <t>Dotacja celowa otrzymana z tytułu pomocy finansowej udzielanej między jednostkami samorządu terytorialnego na dofinansowanie własnych zadań bieżących</t>
  </si>
  <si>
    <t>Usuwanie skutków klęsk żywiołowych</t>
  </si>
  <si>
    <t>85278</t>
  </si>
  <si>
    <t>Dotacje celowe z budżetu na finansowanie lub dofinansowanie kosztów realizacji inwestycji i zakupów inwestycyjnych jednostek niezaliczanych do sektora finansów publicznych</t>
  </si>
  <si>
    <t>6230</t>
  </si>
  <si>
    <t>Centra integracji społecznej</t>
  </si>
  <si>
    <t>85232</t>
  </si>
  <si>
    <t>Ośrodki pomocy społecznej</t>
  </si>
  <si>
    <t>Powiatowe centra pomocy rodzinie</t>
  </si>
  <si>
    <t>Podatek od towarów i usług (VAT)</t>
  </si>
  <si>
    <t>4530</t>
  </si>
  <si>
    <t>Pomoc dla cudzoziemców</t>
  </si>
  <si>
    <t>Zasiłki okresowe, celowe i pomoc w naturze oraz składki na ubezpieczenia emerytalne i rentowe</t>
  </si>
  <si>
    <t>85214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</si>
  <si>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</si>
  <si>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Pomoc społeczna</t>
  </si>
  <si>
    <t>Dotacja podmiotowa z budżetu dla samodzielnego publicznego zakładu opieki zdrowotnej utworzonego przez jednostkę samorządu terytorialnego</t>
  </si>
  <si>
    <t>2560</t>
  </si>
  <si>
    <t xml:space="preserve">Staże i specjalizacje medyczne </t>
  </si>
  <si>
    <t>4320</t>
  </si>
  <si>
    <t>Staże i specjalizacje medyczne</t>
  </si>
  <si>
    <t>85157</t>
  </si>
  <si>
    <t>Składki na ubezpieczenie zdrowotne</t>
  </si>
  <si>
    <t>4130</t>
  </si>
  <si>
    <t>85156</t>
  </si>
  <si>
    <t>Dotacja z budżetu dla samodzielnego publicznego zakładu opieki zdrowotnej utworzonego przez jednostkę samorządu terytorialnego</t>
  </si>
  <si>
    <t>Przeciwdziałanie alkoholizmowi</t>
  </si>
  <si>
    <t>Programy polityki społecznej</t>
  </si>
  <si>
    <t>85149</t>
  </si>
  <si>
    <t>85148</t>
  </si>
  <si>
    <t>85141</t>
  </si>
  <si>
    <t>Lecznictwo ambulatoryjne</t>
  </si>
  <si>
    <t>85121</t>
  </si>
  <si>
    <t>Pokrycie ujemnego wyniku finansowego jednostek zaliczanych do sektora finansów publicznych</t>
  </si>
  <si>
    <t>4160</t>
  </si>
  <si>
    <t>Lecznictwo psychiatryczne</t>
  </si>
  <si>
    <t>85120</t>
  </si>
  <si>
    <t>Wydatki na zakup i objęcie akcji, wniesienie wkładów do spółek prawa handlowego oraz na uzupełnienie funduszy statutowych banków państwowych i innych instytucji finansowych</t>
  </si>
  <si>
    <t>6010</t>
  </si>
  <si>
    <t>zakup i objęcie akcji i udziałów</t>
  </si>
  <si>
    <t>Leczenie sanatoryjno - klimatyczne</t>
  </si>
  <si>
    <t>85119</t>
  </si>
  <si>
    <t>Wydatki na zadania inwestycyjne realizowane ze środków otrzymanych z Rządowego Funduszu Inwestycji Lokalnych</t>
  </si>
  <si>
    <t>6100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</si>
  <si>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</si>
  <si>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Ochrona zdrowia</t>
  </si>
  <si>
    <t>Dotacja podmiotowa z budżetu dla uczelni publicznej na zadania, o których mowa w art. 94 ust. 1 pkt 1 ustawy z dnia 27 lipca 2005 r. - Prawo o szkolnictwie wyższym</t>
  </si>
  <si>
    <t>2520</t>
  </si>
  <si>
    <t>Dotacja podmiotowa z budżetu dla uczelni niepublicznej na zadania, o których mowa w art. 94 ust. 1 pkt 1 ustawy z dnia 27 lipca 2005 r. - Prawo o szkolnictwie wyższym</t>
  </si>
  <si>
    <t>2500</t>
  </si>
  <si>
    <t>80395</t>
  </si>
  <si>
    <t>świadczenia na rzecz osób fizycznych</t>
  </si>
  <si>
    <t>Zwroty dotyczące rozliczeń z Komisją Europejską</t>
  </si>
  <si>
    <t>4989</t>
  </si>
  <si>
    <t>80309</t>
  </si>
  <si>
    <t>Szkolnictwo wyższe</t>
  </si>
  <si>
    <t>803</t>
  </si>
  <si>
    <t>Zwroty dotacji oraz płatności wykorzystanych niezgodnie z przeznaczeniem lub wykorzystanych z naruszeniem procedur, o których mowa w art. 184 ustawy, pobranych nienależnie lub w nadmiernej wysokości dotyczące wydatków majątkowych</t>
  </si>
  <si>
    <t>4411</t>
  </si>
  <si>
    <t>4171</t>
  </si>
  <si>
    <t>3240</t>
  </si>
  <si>
    <t>Kwalifikacyjne kursy zawodowe</t>
  </si>
  <si>
    <t>80151</t>
  </si>
  <si>
    <t>80147</t>
  </si>
  <si>
    <t>4416</t>
  </si>
  <si>
    <t>4386</t>
  </si>
  <si>
    <t xml:space="preserve">Opłaty z tytułu zakupu usług telekomunikacyjnych </t>
  </si>
  <si>
    <t>4366</t>
  </si>
  <si>
    <t>Zakup usług remontowo - konserwatorskich dotyczących obiektów zabytkowych będących w użytkowaniu jednostek budżetowych</t>
  </si>
  <si>
    <t>4349</t>
  </si>
  <si>
    <t>4347</t>
  </si>
  <si>
    <t>4306</t>
  </si>
  <si>
    <t>4226</t>
  </si>
  <si>
    <t>4216</t>
  </si>
  <si>
    <t>4176</t>
  </si>
  <si>
    <t>4126</t>
  </si>
  <si>
    <t>4116</t>
  </si>
  <si>
    <t>4016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</si>
  <si>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</si>
  <si>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 xml:space="preserve">Opłaty na rzecz budżetów jednostek budżetowych </t>
  </si>
  <si>
    <t>Opłaty na rzecz budżetu państwa</t>
  </si>
  <si>
    <t>4510</t>
  </si>
  <si>
    <t>80130</t>
  </si>
  <si>
    <t>Licea ogólnokształcące specjalne</t>
  </si>
  <si>
    <t>80121</t>
  </si>
  <si>
    <t>80116</t>
  </si>
  <si>
    <t>Gimnazja specjalne</t>
  </si>
  <si>
    <t>80111</t>
  </si>
  <si>
    <t>Przedszkola</t>
  </si>
  <si>
    <t>80104</t>
  </si>
  <si>
    <t>Pozostałe odsetki</t>
  </si>
  <si>
    <t>4580</t>
  </si>
  <si>
    <t xml:space="preserve">Wynagrodzenia bezosobowe </t>
  </si>
  <si>
    <t>80102</t>
  </si>
  <si>
    <t xml:space="preserve">Szkoły podstawowe </t>
  </si>
  <si>
    <t>80101</t>
  </si>
  <si>
    <t>Oświata i wychowanie</t>
  </si>
  <si>
    <t>801</t>
  </si>
  <si>
    <t>Rezerwy na inwestycje i zakupy inwestycyjne</t>
  </si>
  <si>
    <t>6800</t>
  </si>
  <si>
    <t>Rezerwy</t>
  </si>
  <si>
    <t>4810</t>
  </si>
  <si>
    <t>Rezerwy ogólne i celowe</t>
  </si>
  <si>
    <t>75818</t>
  </si>
  <si>
    <t>Różne rozliczenia</t>
  </si>
  <si>
    <t>758</t>
  </si>
  <si>
    <t xml:space="preserve">Wypłaty z tytułu krajowych poręczeń i gwarancji </t>
  </si>
  <si>
    <t>8030</t>
  </si>
  <si>
    <t>wypłaty z tytułu poręczeń i gwarancji:</t>
  </si>
  <si>
    <t>Rozliczenia z tytułu poręczeń i gwarancji udzielonych przez Skarb Państwa lub jednostkę samorządu terytorialnego</t>
  </si>
  <si>
    <t>75704</t>
  </si>
  <si>
    <t>Odsetki od samorządowych papierów wartościowych lub zaciągniętych przez jednostkę samorządu terytorialnego kredytów i pożyczek</t>
  </si>
  <si>
    <t>8110</t>
  </si>
  <si>
    <t>obsługa długu JST</t>
  </si>
  <si>
    <t>Obsługa papierów wartościowych, kredytów i pożyczek  oraz innych zobowiązań jednostek samorządu terytorialnego zaliczanych do tytułu dłużnego - kredyty i pożyczki</t>
  </si>
  <si>
    <t>75702</t>
  </si>
  <si>
    <t>Obsługa długu publicznego</t>
  </si>
  <si>
    <t>757</t>
  </si>
  <si>
    <t>75495</t>
  </si>
  <si>
    <t>Dotacja celowa otrzymana z budżetu przez pozostałe jednostki zaliczane do sektora finansów publicznych</t>
  </si>
  <si>
    <t>75421</t>
  </si>
  <si>
    <t>Zadania ratownictwa górskiego i wodnego</t>
  </si>
  <si>
    <t>75415</t>
  </si>
  <si>
    <t>Ochotnicze straże pożarne</t>
  </si>
  <si>
    <t>75412</t>
  </si>
  <si>
    <t>Wpłaty jednostek na państwowy fundusz celowy na finansowanie lub dofinansowanie zadań inwestycyjnych</t>
  </si>
  <si>
    <t>6170</t>
  </si>
  <si>
    <t>Komendy wojewódzkie Państwowej Straży Pożarnej</t>
  </si>
  <si>
    <t>Wpłaty jednostek na państwowy fundusz celowy</t>
  </si>
  <si>
    <t>3000</t>
  </si>
  <si>
    <t>Straż Graniczna</t>
  </si>
  <si>
    <t>2300</t>
  </si>
  <si>
    <t>Komendy wojewódzkie Policji</t>
  </si>
  <si>
    <t>Bezpieczeństwo publiczne i ochrona przeciwpożarowa</t>
  </si>
  <si>
    <t>75212</t>
  </si>
  <si>
    <t>Obrona narodowa</t>
  </si>
  <si>
    <t>752</t>
  </si>
  <si>
    <t>RR</t>
  </si>
  <si>
    <t>OT</t>
  </si>
  <si>
    <t>RR RP</t>
  </si>
  <si>
    <t>BI</t>
  </si>
  <si>
    <t>BI OT</t>
  </si>
  <si>
    <t>GR BI</t>
  </si>
  <si>
    <t>GR BI OT</t>
  </si>
  <si>
    <t>Odsetki od nieterminowych wpłat z tytułu pozostałych podatków i opłat</t>
  </si>
  <si>
    <t>4570</t>
  </si>
  <si>
    <t>4437</t>
  </si>
  <si>
    <t>GR OT</t>
  </si>
  <si>
    <t>RP GR BI</t>
  </si>
  <si>
    <t>RP GR BI OT</t>
  </si>
  <si>
    <t>KS KZ</t>
  </si>
  <si>
    <t>Dotacja celowa z budżetu na finansowanie lub dofinansowanie zadań zleconych do realizacji pozostałym jednostkom nie zaliczanym do sektora finansów publicznych</t>
  </si>
  <si>
    <t>2830</t>
  </si>
  <si>
    <t>GR WP</t>
  </si>
  <si>
    <t>KZ GR</t>
  </si>
  <si>
    <t>Składki dla organizacji międzynarodowych</t>
  </si>
  <si>
    <t>4540</t>
  </si>
  <si>
    <t>KS GR</t>
  </si>
  <si>
    <t>RR GR</t>
  </si>
  <si>
    <t>KZ RR GR NW</t>
  </si>
  <si>
    <t>KS KZ RR GR WP</t>
  </si>
  <si>
    <t>KZ RR GR</t>
  </si>
  <si>
    <t>75084</t>
  </si>
  <si>
    <t>Cła</t>
  </si>
  <si>
    <t>4470</t>
  </si>
  <si>
    <t>75079</t>
  </si>
  <si>
    <t>Dotacje celowe przekazane do samorządu województwa na zadania bieżące realizowane na podstawie porozumień (umów) między jednostkami samorządu terytorialnego</t>
  </si>
  <si>
    <t>PG</t>
  </si>
  <si>
    <t>KS KZ RR RG PG</t>
  </si>
  <si>
    <t>KS KZ RG</t>
  </si>
  <si>
    <t>KZ PG</t>
  </si>
  <si>
    <t>75046</t>
  </si>
  <si>
    <t>Urzędy gmin (miast i miast na prawach powiatu)</t>
  </si>
  <si>
    <t>75023</t>
  </si>
  <si>
    <t>6667</t>
  </si>
  <si>
    <t>OR RG DT</t>
  </si>
  <si>
    <t>OR DT</t>
  </si>
  <si>
    <t>Opłaty z tytułu zakupu usług telekomunikacyjnych świadczonych w ruchomej publicznej sieci telefonicznej</t>
  </si>
  <si>
    <t>RR RP PG</t>
  </si>
  <si>
    <t>GR PG</t>
  </si>
  <si>
    <t>DT</t>
  </si>
  <si>
    <t>Pozostałe podatki na rzecz budżetów jednostek samorządu terytorialnego</t>
  </si>
  <si>
    <t>4500</t>
  </si>
  <si>
    <t>RG DT</t>
  </si>
  <si>
    <t>KZ OR RG DT OZ</t>
  </si>
  <si>
    <t>KZ OR RG DT</t>
  </si>
  <si>
    <t>KS</t>
  </si>
  <si>
    <t xml:space="preserve">Różne wydatki na rzecz osób fizycznych </t>
  </si>
  <si>
    <t>Samorządowe sejmiki województw</t>
  </si>
  <si>
    <t>75017</t>
  </si>
  <si>
    <t>75011</t>
  </si>
  <si>
    <t>Administracja publiczna</t>
  </si>
  <si>
    <t>EN</t>
  </si>
  <si>
    <t>Dotacja podmiotowa z budżetu dla jednostek systemu szkolnictwa wyższego i nauki zaliczanych do sektora finansów publicznych</t>
  </si>
  <si>
    <t>2270</t>
  </si>
  <si>
    <t>Dotacja podmiotowa z budżetu dla jednostek systemu szkolnictwa wyższego i nauki niezaliczanych do sektora finansów publicznych</t>
  </si>
  <si>
    <t>2260</t>
  </si>
  <si>
    <t>73016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</si>
  <si>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</si>
  <si>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Działalność upowszechniająca naukę</t>
  </si>
  <si>
    <t>73006</t>
  </si>
  <si>
    <t>Szkolnictwo wyższe i nauka</t>
  </si>
  <si>
    <t>Informatyka</t>
  </si>
  <si>
    <t>720</t>
  </si>
  <si>
    <t>Cmentarze</t>
  </si>
  <si>
    <t>71035</t>
  </si>
  <si>
    <t xml:space="preserve"> - inwestycyjne i zakupy inwestycyjne</t>
  </si>
  <si>
    <t>RG</t>
  </si>
  <si>
    <t>71012</t>
  </si>
  <si>
    <t>Zakup środków żywnościowych</t>
  </si>
  <si>
    <t>71003</t>
  </si>
  <si>
    <t>Działalność usługowa</t>
  </si>
  <si>
    <t>Wydatki na zakupy inwestycyjne związane z pomocą obywatelom Ukrainy</t>
  </si>
  <si>
    <t>6490</t>
  </si>
  <si>
    <t>Środki na finansowanie lub dofinansowanie inwestycji i zakupów inwestycyjnych w zakresie pomocy obywatelom Ukrainy</t>
  </si>
  <si>
    <t>6390</t>
  </si>
  <si>
    <t>Kary, odszkodowania i grzywny wypłacane na rzecz osób prawnych i innych jednostek organizacyjnych</t>
  </si>
  <si>
    <t>4600</t>
  </si>
  <si>
    <t>Kary i odszkodowania wypłacane na rzecz osób fizycznych</t>
  </si>
  <si>
    <t>4590</t>
  </si>
  <si>
    <t>Gospodarka mieszkaniowa</t>
  </si>
  <si>
    <t>700</t>
  </si>
  <si>
    <t>4426</t>
  </si>
  <si>
    <t>4425</t>
  </si>
  <si>
    <t>4415</t>
  </si>
  <si>
    <t>4385</t>
  </si>
  <si>
    <t>4305</t>
  </si>
  <si>
    <t>4215</t>
  </si>
  <si>
    <t>4125</t>
  </si>
  <si>
    <t>4115</t>
  </si>
  <si>
    <t>4015</t>
  </si>
  <si>
    <t>2005</t>
  </si>
  <si>
    <t>63095</t>
  </si>
  <si>
    <t>Turystyka</t>
  </si>
  <si>
    <t>60095</t>
  </si>
  <si>
    <t>60078</t>
  </si>
  <si>
    <t>Drogi wewnętrzne</t>
  </si>
  <si>
    <t>60017</t>
  </si>
  <si>
    <t>Wydatki majątkowe:</t>
  </si>
  <si>
    <t>Drogi publiczne w miastach na prawach powiatu</t>
  </si>
  <si>
    <t>60015</t>
  </si>
  <si>
    <t>Drogi publiczne powiatowe</t>
  </si>
  <si>
    <t>Dotacje celowe przekazane dla powiatu na inwestycje i zakupy inwestycyjne realizowane na podstawie porozumień (umów) między jednostkami samorządu terytorialnego</t>
  </si>
  <si>
    <t>6620</t>
  </si>
  <si>
    <t>Dotacja celowa przekazana gminie na inwestycje i zakupy inwestycyjne realizowane na podstawie porozumień (umów) między jednostkami samorządu terytorialnego</t>
  </si>
  <si>
    <t>6610</t>
  </si>
  <si>
    <t xml:space="preserve">Wydatki poniesione ze środków z Rządowego Funduszu Polski Ład: Program Inwstycji Strategicznych na realizację zadań inwestycyjnych </t>
  </si>
  <si>
    <t>6370</t>
  </si>
  <si>
    <t>60004</t>
  </si>
  <si>
    <t xml:space="preserve">Dotacja przedmiotowa z budżetu dla jednostek niezaliczanych do sektora finansów publicznych </t>
  </si>
  <si>
    <t>Dotacje celowe przekazane dla powiatu na zadania bieżące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</si>
  <si>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</si>
  <si>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2310</t>
  </si>
  <si>
    <t>Dotacja celowa z budżetu na finansowanie lub dofinansowanie zadań zleconych do realizacji pozostałym jednostkom niezaliczanym do sektora finansów publicznych</t>
  </si>
  <si>
    <t>Transport i łączność</t>
  </si>
  <si>
    <t>0</t>
  </si>
  <si>
    <t>Przetwórstwo przemysłowe</t>
  </si>
  <si>
    <t>Zakup usług obejmujących wykonywanie ekspertyz, analiz i opinii</t>
  </si>
  <si>
    <t>OW</t>
  </si>
  <si>
    <t>Program Operacyjny Zrównoważony rozwój sektora rybołówstwa i nadbrzeżnych obszarów rybackich 2007-2013 oraz Program Operacyjny Rybactwo i Morze 2014-2020</t>
  </si>
  <si>
    <t>Rybołówstwo i rybactwo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</si>
  <si>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</si>
  <si>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6660</t>
  </si>
  <si>
    <t>01078</t>
  </si>
  <si>
    <t>Dotacje celowe przekazane gminie na inwestycje i zakupy inwestycyjne realizowane na podstawie porozumień (umów) między jednostkami samorządu terytorialnego</t>
  </si>
  <si>
    <t xml:space="preserve">Program Rozwoju Obszarów Wiejskich </t>
  </si>
  <si>
    <t>Melioracje wodne</t>
  </si>
  <si>
    <t>01008</t>
  </si>
  <si>
    <t>Zarządy melioracji i urządzeń wodnych</t>
  </si>
  <si>
    <t>01006</t>
  </si>
  <si>
    <t>Biura geodezji i terenów rolnych</t>
  </si>
  <si>
    <t>Rolnictwo i łowiectwo</t>
  </si>
  <si>
    <t>% zmiana planu 
(6:5)</t>
  </si>
  <si>
    <t>Plan wydatków na 2022r. wg stanu na 31.08.2022r. - przewidywane wykonanie wydatków w 2022r.</t>
  </si>
  <si>
    <t>Plan wg uchwały budżetowej</t>
  </si>
  <si>
    <t>Wyszczególnienie</t>
  </si>
  <si>
    <t>Dotacja celowa z budżetu państwa na realizację projektu pn.: "Podkarpacki System Informacji Przestrzennej (PSIP)" realizowanego w ramach Regionalnego Programu Operacyjnego Województwa Podkarpackiego na lata 2014 - 2020</t>
  </si>
  <si>
    <t xml:space="preserve">Działalność ośrodków adopcyjnych </t>
  </si>
  <si>
    <t>OCHRONA  ZDROWIA</t>
  </si>
  <si>
    <t>DOCHODY Z TYTUŁU PRZYZNANYCH Z BUDŻETU PAŃSTWA DOTACJI 
NA REALIZACJĘ ZADAŃ Z ZAKRESU ADMINISTRACJI RZĄDOWEJ</t>
  </si>
  <si>
    <t>ZESTAWIENIE  DOCHODÓW  I  WYDATKÓW  ZWIĄZANYCH  
Z  REALIZACJĄ  ZADAŃ  Z  ZAKRESU  ADMINISTRACJI  RZĄDOWEJ  
ORAZ  INNYCH  ZADAŃ  ZLECONYCH  SAMORZĄDOWI 
WOJEWÓDZTWA  PODKARPACKIEGO USTAWAMI</t>
  </si>
  <si>
    <t>razem</t>
  </si>
  <si>
    <t>Zadania z zakresu geodezji 
i kartografii</t>
  </si>
  <si>
    <t>wydatki związane z realizacją ich statutowych zadań</t>
  </si>
  <si>
    <t>wynagro-
dzenia i 
składki od nich naliczane</t>
  </si>
  <si>
    <t>Świadczenia na rzecz osób fizycznych</t>
  </si>
  <si>
    <t>Dotacje na zadania bieżące</t>
  </si>
  <si>
    <t>Wydatki jednostek budżetowych</t>
  </si>
  <si>
    <t>z tego: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</si>
  <si>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</si>
  <si>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</si>
  <si>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>71005</t>
  </si>
  <si>
    <t>DZIAŁANOŚĆ USŁUGOWA</t>
  </si>
  <si>
    <t>do budżetu samorządu</t>
  </si>
  <si>
    <t xml:space="preserve">do budżetu państwa </t>
  </si>
  <si>
    <t>w tym: podlegające przekazaniu</t>
  </si>
  <si>
    <t>Dochody
OGÓŁEM</t>
  </si>
  <si>
    <t xml:space="preserve">PLAN  DOCHODÓW  PODLEGAJĄCYCH  PRZEKAZANIU  DO  BUDŻETU  PAŃSTWA ORAZ STANOWIĄCYCH DOCHÓD BUDŻETU WOJEWÓDZTWA ZWIĄZANYCH  Z  REALIZACJĄ  ZADAŃ  
Z  ZAKRESU  ADMINISTRACJI  RZĄDOWEJ </t>
  </si>
  <si>
    <t>Plan wydatków na 2023 r. według działów, rozdziałów, grup wydatków, paragrafów klasyfikacji budżetowej</t>
  </si>
  <si>
    <t>Gmina Świlcza</t>
  </si>
  <si>
    <t>Realizacja zadań inwestycyjnych pn.: 
1) "Reorganizacja Oddziału Chirurgicznego dla Dzieci” – 2.748.480,-zł.
2) "Reorganizacja Oddziału Otolaryngologicznego z Pododdziałem Laryngologii Dziecięcej” – 2.748.480,-zł.
3) „Modernizacja podczyszczalni ścieków w Wojewódzkim Szpitalu im. Św. Ojca Pio w Przemyślu” – 392.640,-zł.
4) „Centrala VoIP wraz z telefonami VoIP i rozbudową infrastruktury telefonicznej" - 735.350,-zł,
5) „Modernizacja i rozwój e-usług w ramach Podkarpackiego Systemu Informacji Medycznej (PSIM) w Wojewódzkim Szpitalu im. Św. Ojca Pio w Przemyślu” – 1.024.658,-zł.
6) „Zakup aparatury i sprzętu medycznego" – 611.848,-zł,
7)" Utworzenie Pododdziału Kardiochirurgii w ramach istniejącego Oddziału Kardiologii z Pododdziałem Intensywnego Nadzoru Kardiologicznego, Pododdziałem Kardiologii Inwazyjnej wraz z salą operacyjną w ramach CBO w Wojewódzkim Szpitalu im. Św. Ojca Pio w Przemyślu" - 10.000.000,-zł.</t>
  </si>
  <si>
    <t>Tabela Nr 1 do Uchwały Nr LVI/946/22 Sejmiku Województwa Podkarpackiego w Rzeszowie 
z dnia 28 grudnia 2022 r.</t>
  </si>
  <si>
    <t xml:space="preserve">                                                                 Tabela Nr 2 do Uchwały Nr LVI/946/22
                                              Sejmiku Województwa 
                                                        Podkarpackiego w Rzeszowie 
                                         z dnia 28 grudnia 2022 r.</t>
  </si>
  <si>
    <t>Tabela Nr 3 do Uchwały Nr LVI/946/22
Sejmiku Województwa Podkarpackiego 
w Rzeszowie z dnia 28 grudnia 2022 r.</t>
  </si>
  <si>
    <t>Załącznik Nr 1
do  Uchwały Nr LVI/946/22
Sejmiku Województwa Podkarpackiego 
 w Rzeszowie  z dnia 28 grudnia 2022 r.</t>
  </si>
  <si>
    <t>Załącznik Nr 2
do  Uchwały LVI/946/22
Sejmiku Województwa Podkarpackiego 
 w Rzeszowie  z dnia 28 grudnia 2022 r.</t>
  </si>
  <si>
    <t>Załącznik  Nr 3
do  Uchwały Nr LVI/946/22 Sejmiku Województwa Podkarpackiego 
 w Rzeszowie  z dnia  28 grudnia 2022 r.</t>
  </si>
  <si>
    <t>Załącznik Nr 4
do Uchwały Nr  LVI/946/22
Sejmiku Województwa Podkarpackiego 
 w Rzeszowie z dnia   28 grudnia 2022 r.</t>
  </si>
  <si>
    <t>Załącznik Nr  5
do Uchwały Nr LVI/946/22
Sejmiku Województwa Podkarpackiego 
 w Rzeszowie z dnia  28 grudnia 2022 r.</t>
  </si>
  <si>
    <t xml:space="preserve">                                             Załącznik Nr 6
                                                                do Uchwały Nr LVI/946/22
                                                                                   Sejmiku Województwa Podkarpackiego 
                                                                            w Rzeszowie z dnia 28 grudnia 2022 r.</t>
  </si>
  <si>
    <t>Załącznik Nr 7
do  Uchwały Nr  LVI/946/22
Sejmiku Województwa Podkarpackiego 
 w Rzeszowie  z dnia 28 grudnia 2022 r.</t>
  </si>
  <si>
    <t>Załącznik Nr 8
do  Uchwały Nr LVI/946/22
Sejmiku Województwa Podkarpackiego 
 w Rzeszowie  z dnia  28 grudnia 2022 r.</t>
  </si>
  <si>
    <t>Załącznik Nr 9
do  Uchwały Nr LVI/946/22
Sejmiku Województwa Podkarpackiego 
 w Rzeszowie  z dnia 28 grudnia 2022 r.</t>
  </si>
  <si>
    <t>Załącznik Nr 10
do  Uchwały Nr LVI/946/22
Sejmiku Województwa Podkarpackiego 
 w Rzeszowie  z dnia  28 grudnia 2022 r.</t>
  </si>
  <si>
    <t>Załącznik Nr 11 
do  Uchwały Nr LVI/946/22 Sejmiku Województwa Podkarpackiego 
 w Rzeszowie  z dnia 28 grudnia 2022 r.</t>
  </si>
  <si>
    <t>Załącznik Nr 12
do  Uchwały Nr  LVI/946/22 Sejmiku Województwa Podkarpackiego 
 w Rzeszowie  z dnia 28 grudnia 2022 r.</t>
  </si>
  <si>
    <t>Załącznik Nr 13
do Uchwały Nr LVI/946/22
Sejmiku Województwa Podkarpackiego 
 w Rzeszowie z dnia 28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</si>
</sst>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i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i/>
      <sz val="10"/>
      <color rgb="FFFF000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</font>
    <font>
      <sz val="10"/>
      <color theme="1"/>
      <name val="Arial CE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1"/>
      <name val="Calibri"/>
      <family val="2"/>
      <charset val="238"/>
      <scheme val="minor"/>
    </font>
    <font>
      <b/>
      <i/>
      <sz val="10"/>
      <color rgb="FFFF0000"/>
      <name val="Arial"/>
      <family val="2"/>
    </font>
    <font>
      <b/>
      <i/>
      <u/>
      <sz val="10"/>
      <name val="Arial"/>
      <family val="2"/>
      <charset val="238"/>
    </font>
    <font>
      <sz val="16"/>
      <color rgb="FF7030A0"/>
      <name val="Arial CE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i/>
      <u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i/>
      <sz val="11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i/>
      <sz val="11"/>
      <color rgb="FFFF0000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rgb="FFFF0000"/>
      <name val="Arial CE"/>
      <charset val="238"/>
    </font>
    <font>
      <b/>
      <i/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sz val="9"/>
      <color rgb="FFFF0000"/>
      <name val="Arial CE"/>
      <charset val="238"/>
    </font>
    <font>
      <sz val="9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Czcionka tekstu podstawowego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rgb="FFFF0000"/>
      <name val="Arial CE"/>
      <charset val="238"/>
    </font>
    <font>
      <sz val="10"/>
      <color rgb="FFFF0000"/>
      <name val="Times New Roman CE"/>
      <family val="1"/>
      <charset val="238"/>
    </font>
    <font>
      <i/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"/>
      <family val="2"/>
    </font>
    <font>
      <sz val="8"/>
      <color indexed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i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F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8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1" fillId="0" borderId="0"/>
    <xf numFmtId="0" fontId="101" fillId="0" borderId="0"/>
    <xf numFmtId="0" fontId="24" fillId="0" borderId="0"/>
    <xf numFmtId="0" fontId="107" fillId="0" borderId="0" applyNumberFormat="0" applyFill="0" applyBorder="0" applyAlignment="0" applyProtection="0">
      <alignment vertical="top"/>
    </xf>
    <xf numFmtId="0" fontId="24" fillId="0" borderId="0"/>
    <xf numFmtId="0" fontId="111" fillId="0" borderId="0" applyNumberFormat="0" applyBorder="0" applyProtection="0"/>
    <xf numFmtId="0" fontId="117" fillId="0" borderId="0"/>
  </cellStyleXfs>
  <cellXfs count="5083">
    <xf numFmtId="0" fontId="0" fillId="0" borderId="0" xfId="0"/>
    <xf numFmtId="0" fontId="5" fillId="0" borderId="0" xfId="2" applyFont="1"/>
    <xf numFmtId="3" fontId="6" fillId="0" borderId="0" xfId="2" applyNumberFormat="1" applyFont="1" applyAlignment="1">
      <alignment horizontal="right" vertical="center"/>
    </xf>
    <xf numFmtId="9" fontId="6" fillId="0" borderId="0" xfId="1" applyFont="1" applyAlignment="1">
      <alignment horizontal="right" vertical="center"/>
    </xf>
    <xf numFmtId="0" fontId="5" fillId="0" borderId="0" xfId="2" applyFont="1" applyAlignment="1">
      <alignment horizontal="left"/>
    </xf>
    <xf numFmtId="0" fontId="7" fillId="0" borderId="0" xfId="2" applyFont="1" applyAlignment="1">
      <alignment vertical="center" wrapText="1"/>
    </xf>
    <xf numFmtId="0" fontId="3" fillId="0" borderId="0" xfId="2"/>
    <xf numFmtId="0" fontId="8" fillId="0" borderId="1" xfId="2" applyFont="1" applyBorder="1" applyAlignment="1">
      <alignment horizontal="right"/>
    </xf>
    <xf numFmtId="9" fontId="8" fillId="0" borderId="0" xfId="1" applyFont="1" applyBorder="1" applyAlignment="1">
      <alignment horizontal="right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vertical="center"/>
    </xf>
    <xf numFmtId="3" fontId="10" fillId="0" borderId="0" xfId="3" applyNumberFormat="1" applyFont="1" applyBorder="1" applyAlignment="1">
      <alignment horizontal="right" vertical="center"/>
    </xf>
    <xf numFmtId="0" fontId="13" fillId="0" borderId="0" xfId="2" applyFont="1"/>
    <xf numFmtId="0" fontId="14" fillId="2" borderId="2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0" fontId="14" fillId="2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3" fontId="14" fillId="2" borderId="10" xfId="2" applyNumberFormat="1" applyFont="1" applyFill="1" applyBorder="1" applyAlignment="1">
      <alignment horizontal="center" vertical="center"/>
    </xf>
    <xf numFmtId="1" fontId="14" fillId="2" borderId="2" xfId="1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/>
    </xf>
    <xf numFmtId="0" fontId="15" fillId="0" borderId="0" xfId="2" applyFont="1"/>
    <xf numFmtId="0" fontId="12" fillId="3" borderId="2" xfId="2" quotePrefix="1" applyFont="1" applyFill="1" applyBorder="1" applyAlignment="1">
      <alignment horizontal="center" vertical="center" wrapText="1"/>
    </xf>
    <xf numFmtId="0" fontId="12" fillId="3" borderId="9" xfId="2" quotePrefix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vertical="center" wrapText="1"/>
    </xf>
    <xf numFmtId="0" fontId="16" fillId="3" borderId="2" xfId="2" applyFont="1" applyFill="1" applyBorder="1" applyAlignment="1">
      <alignment vertical="center" wrapText="1"/>
    </xf>
    <xf numFmtId="3" fontId="17" fillId="3" borderId="3" xfId="2" applyNumberFormat="1" applyFont="1" applyFill="1" applyBorder="1" applyAlignment="1">
      <alignment horizontal="right" vertical="center"/>
    </xf>
    <xf numFmtId="3" fontId="17" fillId="3" borderId="4" xfId="2" applyNumberFormat="1" applyFont="1" applyFill="1" applyBorder="1" applyAlignment="1">
      <alignment horizontal="right" vertical="center"/>
    </xf>
    <xf numFmtId="10" fontId="12" fillId="3" borderId="3" xfId="1" applyNumberFormat="1" applyFont="1" applyFill="1" applyBorder="1" applyAlignment="1">
      <alignment horizontal="right" vertical="center"/>
    </xf>
    <xf numFmtId="10" fontId="17" fillId="3" borderId="2" xfId="1" applyNumberFormat="1" applyFont="1" applyFill="1" applyBorder="1" applyAlignment="1">
      <alignment horizontal="right" vertical="center"/>
    </xf>
    <xf numFmtId="10" fontId="18" fillId="3" borderId="5" xfId="1" applyNumberFormat="1" applyFont="1" applyFill="1" applyBorder="1" applyAlignment="1">
      <alignment horizontal="left" vertical="center"/>
    </xf>
    <xf numFmtId="0" fontId="16" fillId="0" borderId="3" xfId="2" quotePrefix="1" applyFont="1" applyBorder="1" applyAlignment="1">
      <alignment vertical="center" wrapText="1"/>
    </xf>
    <xf numFmtId="49" fontId="19" fillId="4" borderId="11" xfId="2" applyNumberFormat="1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vertical="center" wrapText="1"/>
    </xf>
    <xf numFmtId="0" fontId="19" fillId="4" borderId="2" xfId="2" applyFont="1" applyFill="1" applyBorder="1" applyAlignment="1">
      <alignment vertical="center" wrapText="1"/>
    </xf>
    <xf numFmtId="3" fontId="12" fillId="4" borderId="2" xfId="2" applyNumberFormat="1" applyFont="1" applyFill="1" applyBorder="1" applyAlignment="1">
      <alignment horizontal="right" vertical="center"/>
    </xf>
    <xf numFmtId="3" fontId="12" fillId="4" borderId="10" xfId="2" applyNumberFormat="1" applyFont="1" applyFill="1" applyBorder="1" applyAlignment="1">
      <alignment horizontal="right" vertical="center"/>
    </xf>
    <xf numFmtId="10" fontId="12" fillId="4" borderId="3" xfId="1" applyNumberFormat="1" applyFont="1" applyFill="1" applyBorder="1" applyAlignment="1">
      <alignment horizontal="right" vertical="center"/>
    </xf>
    <xf numFmtId="10" fontId="17" fillId="4" borderId="6" xfId="1" applyNumberFormat="1" applyFont="1" applyFill="1" applyBorder="1" applyAlignment="1">
      <alignment horizontal="right" vertical="center"/>
    </xf>
    <xf numFmtId="10" fontId="18" fillId="4" borderId="9" xfId="1" applyNumberFormat="1" applyFont="1" applyFill="1" applyBorder="1" applyAlignment="1">
      <alignment horizontal="left" vertical="center"/>
    </xf>
    <xf numFmtId="0" fontId="16" fillId="0" borderId="12" xfId="2" quotePrefix="1" applyFont="1" applyBorder="1" applyAlignment="1">
      <alignment vertical="center" wrapText="1"/>
    </xf>
    <xf numFmtId="0" fontId="20" fillId="5" borderId="3" xfId="2" applyFont="1" applyFill="1" applyBorder="1" applyAlignment="1">
      <alignment vertical="center" wrapText="1"/>
    </xf>
    <xf numFmtId="3" fontId="20" fillId="5" borderId="14" xfId="2" applyNumberFormat="1" applyFont="1" applyFill="1" applyBorder="1" applyAlignment="1">
      <alignment horizontal="right" vertical="center"/>
    </xf>
    <xf numFmtId="3" fontId="20" fillId="5" borderId="15" xfId="2" applyNumberFormat="1" applyFont="1" applyFill="1" applyBorder="1" applyAlignment="1">
      <alignment horizontal="right" vertical="center"/>
    </xf>
    <xf numFmtId="10" fontId="20" fillId="5" borderId="3" xfId="1" applyNumberFormat="1" applyFont="1" applyFill="1" applyBorder="1" applyAlignment="1">
      <alignment horizontal="right" vertical="center"/>
    </xf>
    <xf numFmtId="10" fontId="21" fillId="5" borderId="14" xfId="1" applyNumberFormat="1" applyFont="1" applyFill="1" applyBorder="1" applyAlignment="1">
      <alignment horizontal="right" vertical="center"/>
    </xf>
    <xf numFmtId="10" fontId="22" fillId="5" borderId="16" xfId="1" applyNumberFormat="1" applyFont="1" applyFill="1" applyBorder="1" applyAlignment="1">
      <alignment horizontal="left" vertical="center"/>
    </xf>
    <xf numFmtId="49" fontId="23" fillId="6" borderId="19" xfId="2" applyNumberFormat="1" applyFont="1" applyFill="1" applyBorder="1" applyAlignment="1">
      <alignment horizontal="center" vertical="center" wrapText="1"/>
    </xf>
    <xf numFmtId="3" fontId="24" fillId="0" borderId="19" xfId="3" applyNumberFormat="1" applyFont="1" applyFill="1" applyBorder="1" applyAlignment="1">
      <alignment horizontal="right" vertical="center"/>
    </xf>
    <xf numFmtId="3" fontId="23" fillId="0" borderId="19" xfId="2" applyNumberFormat="1" applyFont="1" applyBorder="1" applyAlignment="1">
      <alignment horizontal="right" vertical="center"/>
    </xf>
    <xf numFmtId="3" fontId="23" fillId="0" borderId="20" xfId="2" applyNumberFormat="1" applyFont="1" applyBorder="1" applyAlignment="1">
      <alignment horizontal="right" vertical="center"/>
    </xf>
    <xf numFmtId="10" fontId="23" fillId="0" borderId="19" xfId="1" applyNumberFormat="1" applyFont="1" applyFill="1" applyBorder="1" applyAlignment="1">
      <alignment horizontal="right" vertical="center"/>
    </xf>
    <xf numFmtId="3" fontId="23" fillId="0" borderId="19" xfId="1" applyNumberFormat="1" applyFont="1" applyFill="1" applyBorder="1" applyAlignment="1">
      <alignment horizontal="right" vertical="center"/>
    </xf>
    <xf numFmtId="3" fontId="23" fillId="0" borderId="21" xfId="1" applyNumberFormat="1" applyFont="1" applyFill="1" applyBorder="1" applyAlignment="1">
      <alignment horizontal="right" vertical="center"/>
    </xf>
    <xf numFmtId="10" fontId="24" fillId="0" borderId="19" xfId="1" applyNumberFormat="1" applyFont="1" applyFill="1" applyBorder="1" applyAlignment="1">
      <alignment horizontal="right" vertical="center"/>
    </xf>
    <xf numFmtId="0" fontId="20" fillId="6" borderId="12" xfId="2" applyFont="1" applyFill="1" applyBorder="1" applyAlignment="1">
      <alignment horizontal="center" vertical="center" wrapText="1"/>
    </xf>
    <xf numFmtId="49" fontId="23" fillId="6" borderId="14" xfId="2" applyNumberFormat="1" applyFont="1" applyFill="1" applyBorder="1" applyAlignment="1">
      <alignment horizontal="center" vertical="center" wrapText="1"/>
    </xf>
    <xf numFmtId="0" fontId="20" fillId="6" borderId="14" xfId="2" applyFont="1" applyFill="1" applyBorder="1" applyAlignment="1">
      <alignment horizontal="center" vertical="center" wrapText="1"/>
    </xf>
    <xf numFmtId="49" fontId="23" fillId="6" borderId="12" xfId="2" applyNumberFormat="1" applyFont="1" applyFill="1" applyBorder="1" applyAlignment="1">
      <alignment horizontal="center" vertical="center" wrapText="1"/>
    </xf>
    <xf numFmtId="3" fontId="23" fillId="0" borderId="16" xfId="1" applyNumberFormat="1" applyFont="1" applyFill="1" applyBorder="1" applyAlignment="1">
      <alignment horizontal="right" vertical="center"/>
    </xf>
    <xf numFmtId="0" fontId="2" fillId="0" borderId="0" xfId="2" applyFont="1"/>
    <xf numFmtId="0" fontId="20" fillId="5" borderId="19" xfId="2" applyFont="1" applyFill="1" applyBorder="1" applyAlignment="1">
      <alignment vertical="center" wrapText="1"/>
    </xf>
    <xf numFmtId="3" fontId="21" fillId="5" borderId="19" xfId="2" applyNumberFormat="1" applyFont="1" applyFill="1" applyBorder="1" applyAlignment="1">
      <alignment horizontal="right" vertical="center"/>
    </xf>
    <xf numFmtId="3" fontId="20" fillId="5" borderId="19" xfId="2" applyNumberFormat="1" applyFont="1" applyFill="1" applyBorder="1" applyAlignment="1">
      <alignment horizontal="right" vertical="center"/>
    </xf>
    <xf numFmtId="3" fontId="20" fillId="5" borderId="20" xfId="2" applyNumberFormat="1" applyFont="1" applyFill="1" applyBorder="1" applyAlignment="1">
      <alignment horizontal="right" vertical="center"/>
    </xf>
    <xf numFmtId="10" fontId="23" fillId="5" borderId="12" xfId="1" applyNumberFormat="1" applyFont="1" applyFill="1" applyBorder="1" applyAlignment="1">
      <alignment horizontal="right" vertical="center"/>
    </xf>
    <xf numFmtId="3" fontId="23" fillId="5" borderId="23" xfId="1" applyNumberFormat="1" applyFont="1" applyFill="1" applyBorder="1" applyAlignment="1">
      <alignment horizontal="right" vertical="center"/>
    </xf>
    <xf numFmtId="10" fontId="24" fillId="5" borderId="19" xfId="1" applyNumberFormat="1" applyFont="1" applyFill="1" applyBorder="1" applyAlignment="1">
      <alignment horizontal="right" vertical="center"/>
    </xf>
    <xf numFmtId="10" fontId="22" fillId="5" borderId="25" xfId="1" applyNumberFormat="1" applyFont="1" applyFill="1" applyBorder="1" applyAlignment="1">
      <alignment horizontal="left" vertical="center"/>
    </xf>
    <xf numFmtId="0" fontId="26" fillId="0" borderId="6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 wrapText="1"/>
    </xf>
    <xf numFmtId="49" fontId="27" fillId="0" borderId="14" xfId="2" applyNumberFormat="1" applyFont="1" applyBorder="1" applyAlignment="1">
      <alignment horizontal="center" vertical="center" wrapText="1"/>
    </xf>
    <xf numFmtId="3" fontId="25" fillId="0" borderId="12" xfId="3" applyNumberFormat="1" applyFont="1" applyFill="1" applyBorder="1" applyAlignment="1">
      <alignment horizontal="right" vertical="center"/>
    </xf>
    <xf numFmtId="3" fontId="27" fillId="0" borderId="19" xfId="2" applyNumberFormat="1" applyFont="1" applyBorder="1" applyAlignment="1">
      <alignment horizontal="right" vertical="center"/>
    </xf>
    <xf numFmtId="3" fontId="27" fillId="0" borderId="20" xfId="2" applyNumberFormat="1" applyFont="1" applyBorder="1" applyAlignment="1">
      <alignment horizontal="right" vertical="center"/>
    </xf>
    <xf numFmtId="3" fontId="12" fillId="3" borderId="23" xfId="1" applyNumberFormat="1" applyFont="1" applyFill="1" applyBorder="1" applyAlignment="1">
      <alignment horizontal="right" vertical="center"/>
    </xf>
    <xf numFmtId="10" fontId="24" fillId="0" borderId="17" xfId="1" applyNumberFormat="1" applyFont="1" applyFill="1" applyBorder="1" applyAlignment="1">
      <alignment horizontal="right" vertical="center"/>
    </xf>
    <xf numFmtId="10" fontId="18" fillId="0" borderId="22" xfId="1" applyNumberFormat="1" applyFont="1" applyFill="1" applyBorder="1" applyAlignment="1">
      <alignment horizontal="left" vertical="center"/>
    </xf>
    <xf numFmtId="3" fontId="17" fillId="4" borderId="2" xfId="2" applyNumberFormat="1" applyFont="1" applyFill="1" applyBorder="1" applyAlignment="1">
      <alignment horizontal="right" vertical="center"/>
    </xf>
    <xf numFmtId="3" fontId="17" fillId="4" borderId="10" xfId="2" applyNumberFormat="1" applyFont="1" applyFill="1" applyBorder="1" applyAlignment="1">
      <alignment horizontal="right" vertical="center"/>
    </xf>
    <xf numFmtId="10" fontId="17" fillId="4" borderId="2" xfId="1" applyNumberFormat="1" applyFont="1" applyFill="1" applyBorder="1" applyAlignment="1">
      <alignment horizontal="right" vertical="center"/>
    </xf>
    <xf numFmtId="0" fontId="20" fillId="5" borderId="27" xfId="2" quotePrefix="1" applyFont="1" applyFill="1" applyBorder="1" applyAlignment="1">
      <alignment horizontal="left" vertical="center" wrapText="1"/>
    </xf>
    <xf numFmtId="3" fontId="21" fillId="5" borderId="27" xfId="2" applyNumberFormat="1" applyFont="1" applyFill="1" applyBorder="1" applyAlignment="1">
      <alignment horizontal="right" vertical="center"/>
    </xf>
    <xf numFmtId="3" fontId="21" fillId="5" borderId="26" xfId="2" applyNumberFormat="1" applyFont="1" applyFill="1" applyBorder="1" applyAlignment="1">
      <alignment horizontal="right" vertical="center"/>
    </xf>
    <xf numFmtId="10" fontId="23" fillId="5" borderId="3" xfId="1" applyNumberFormat="1" applyFont="1" applyFill="1" applyBorder="1" applyAlignment="1">
      <alignment horizontal="right" vertical="center"/>
    </xf>
    <xf numFmtId="0" fontId="23" fillId="0" borderId="28" xfId="2" applyFont="1" applyBorder="1" applyAlignment="1">
      <alignment horizontal="left" vertical="center" wrapText="1"/>
    </xf>
    <xf numFmtId="0" fontId="23" fillId="0" borderId="20" xfId="2" quotePrefix="1" applyFont="1" applyBorder="1" applyAlignment="1">
      <alignment horizontal="left" vertical="center" wrapText="1"/>
    </xf>
    <xf numFmtId="49" fontId="23" fillId="0" borderId="19" xfId="2" quotePrefix="1" applyNumberFormat="1" applyFont="1" applyBorder="1" applyAlignment="1">
      <alignment horizontal="center" vertical="center" wrapText="1"/>
    </xf>
    <xf numFmtId="3" fontId="24" fillId="0" borderId="12" xfId="3" applyNumberFormat="1" applyFont="1" applyFill="1" applyBorder="1" applyAlignment="1">
      <alignment horizontal="right" vertical="center"/>
    </xf>
    <xf numFmtId="10" fontId="18" fillId="0" borderId="25" xfId="1" applyNumberFormat="1" applyFont="1" applyFill="1" applyBorder="1" applyAlignment="1">
      <alignment horizontal="left" vertical="center"/>
    </xf>
    <xf numFmtId="0" fontId="23" fillId="0" borderId="21" xfId="2" quotePrefix="1" applyFont="1" applyBorder="1" applyAlignment="1">
      <alignment horizontal="left" vertical="center" wrapText="1"/>
    </xf>
    <xf numFmtId="0" fontId="23" fillId="6" borderId="19" xfId="2" quotePrefix="1" applyFont="1" applyFill="1" applyBorder="1" applyAlignment="1">
      <alignment horizontal="center" vertical="center" wrapText="1"/>
    </xf>
    <xf numFmtId="10" fontId="24" fillId="0" borderId="22" xfId="1" applyNumberFormat="1" applyFont="1" applyFill="1" applyBorder="1" applyAlignment="1">
      <alignment horizontal="left" vertical="center"/>
    </xf>
    <xf numFmtId="0" fontId="23" fillId="6" borderId="14" xfId="2" quotePrefix="1" applyFont="1" applyFill="1" applyBorder="1" applyAlignment="1">
      <alignment horizontal="center" vertical="center" wrapText="1"/>
    </xf>
    <xf numFmtId="10" fontId="24" fillId="0" borderId="16" xfId="1" applyNumberFormat="1" applyFont="1" applyFill="1" applyBorder="1" applyAlignment="1">
      <alignment horizontal="left" vertical="center"/>
    </xf>
    <xf numFmtId="3" fontId="24" fillId="0" borderId="17" xfId="3" applyNumberFormat="1" applyFont="1" applyFill="1" applyBorder="1" applyAlignment="1">
      <alignment horizontal="right" vertical="center"/>
    </xf>
    <xf numFmtId="3" fontId="23" fillId="0" borderId="25" xfId="1" applyNumberFormat="1" applyFont="1" applyFill="1" applyBorder="1" applyAlignment="1">
      <alignment horizontal="right" vertical="center"/>
    </xf>
    <xf numFmtId="10" fontId="25" fillId="0" borderId="25" xfId="1" applyNumberFormat="1" applyFont="1" applyFill="1" applyBorder="1" applyAlignment="1">
      <alignment horizontal="left" vertical="center"/>
    </xf>
    <xf numFmtId="0" fontId="23" fillId="6" borderId="12" xfId="2" quotePrefix="1" applyFont="1" applyFill="1" applyBorder="1" applyAlignment="1">
      <alignment horizontal="center" vertical="center" wrapText="1"/>
    </xf>
    <xf numFmtId="0" fontId="20" fillId="5" borderId="30" xfId="2" quotePrefix="1" applyFont="1" applyFill="1" applyBorder="1" applyAlignment="1">
      <alignment horizontal="left" vertical="center" wrapText="1"/>
    </xf>
    <xf numFmtId="3" fontId="21" fillId="5" borderId="30" xfId="2" applyNumberFormat="1" applyFont="1" applyFill="1" applyBorder="1" applyAlignment="1">
      <alignment horizontal="right" vertical="center"/>
    </xf>
    <xf numFmtId="3" fontId="20" fillId="5" borderId="31" xfId="2" applyNumberFormat="1" applyFont="1" applyFill="1" applyBorder="1" applyAlignment="1">
      <alignment horizontal="right" vertical="center"/>
    </xf>
    <xf numFmtId="10" fontId="24" fillId="5" borderId="17" xfId="1" applyNumberFormat="1" applyFont="1" applyFill="1" applyBorder="1" applyAlignment="1">
      <alignment horizontal="right" vertical="center"/>
    </xf>
    <xf numFmtId="10" fontId="22" fillId="5" borderId="22" xfId="1" applyNumberFormat="1" applyFont="1" applyFill="1" applyBorder="1" applyAlignment="1">
      <alignment horizontal="left" vertical="center"/>
    </xf>
    <xf numFmtId="3" fontId="12" fillId="4" borderId="19" xfId="2" applyNumberFormat="1" applyFont="1" applyFill="1" applyBorder="1" applyAlignment="1">
      <alignment horizontal="right" vertical="center"/>
    </xf>
    <xf numFmtId="3" fontId="12" fillId="4" borderId="15" xfId="2" applyNumberFormat="1" applyFont="1" applyFill="1" applyBorder="1" applyAlignment="1">
      <alignment horizontal="right" vertical="center"/>
    </xf>
    <xf numFmtId="49" fontId="20" fillId="5" borderId="14" xfId="2" applyNumberFormat="1" applyFont="1" applyFill="1" applyBorder="1" applyAlignment="1">
      <alignment horizontal="left" vertical="center" wrapText="1"/>
    </xf>
    <xf numFmtId="3" fontId="21" fillId="5" borderId="3" xfId="2" applyNumberFormat="1" applyFont="1" applyFill="1" applyBorder="1" applyAlignment="1">
      <alignment horizontal="right" vertical="center"/>
    </xf>
    <xf numFmtId="3" fontId="21" fillId="5" borderId="4" xfId="2" applyNumberFormat="1" applyFont="1" applyFill="1" applyBorder="1" applyAlignment="1">
      <alignment horizontal="right" vertical="center"/>
    </xf>
    <xf numFmtId="0" fontId="23" fillId="0" borderId="21" xfId="2" applyFont="1" applyBorder="1" applyAlignment="1">
      <alignment vertical="center" wrapText="1"/>
    </xf>
    <xf numFmtId="0" fontId="27" fillId="0" borderId="21" xfId="2" applyFont="1" applyBorder="1" applyAlignment="1">
      <alignment vertical="center" wrapText="1"/>
    </xf>
    <xf numFmtId="49" fontId="27" fillId="6" borderId="19" xfId="2" applyNumberFormat="1" applyFont="1" applyFill="1" applyBorder="1" applyAlignment="1">
      <alignment horizontal="center" vertical="center" wrapText="1"/>
    </xf>
    <xf numFmtId="3" fontId="25" fillId="0" borderId="19" xfId="3" applyNumberFormat="1" applyFont="1" applyFill="1" applyBorder="1" applyAlignment="1">
      <alignment horizontal="right" vertical="center"/>
    </xf>
    <xf numFmtId="10" fontId="12" fillId="3" borderId="12" xfId="1" applyNumberFormat="1" applyFont="1" applyFill="1" applyBorder="1" applyAlignment="1">
      <alignment horizontal="right" vertical="center"/>
    </xf>
    <xf numFmtId="49" fontId="28" fillId="0" borderId="12" xfId="2" applyNumberFormat="1" applyFont="1" applyBorder="1" applyAlignment="1">
      <alignment vertical="center" wrapText="1"/>
    </xf>
    <xf numFmtId="49" fontId="27" fillId="6" borderId="12" xfId="2" applyNumberFormat="1" applyFont="1" applyFill="1" applyBorder="1" applyAlignment="1">
      <alignment horizontal="center" vertical="center" wrapText="1"/>
    </xf>
    <xf numFmtId="3" fontId="25" fillId="0" borderId="14" xfId="3" applyNumberFormat="1" applyFont="1" applyFill="1" applyBorder="1" applyAlignment="1">
      <alignment horizontal="right" vertical="center"/>
    </xf>
    <xf numFmtId="49" fontId="28" fillId="0" borderId="14" xfId="2" applyNumberFormat="1" applyFont="1" applyBorder="1" applyAlignment="1">
      <alignment vertical="center" wrapText="1"/>
    </xf>
    <xf numFmtId="0" fontId="27" fillId="6" borderId="21" xfId="2" applyFont="1" applyFill="1" applyBorder="1" applyAlignment="1">
      <alignment vertical="center" wrapText="1"/>
    </xf>
    <xf numFmtId="49" fontId="20" fillId="5" borderId="6" xfId="2" applyNumberFormat="1" applyFont="1" applyFill="1" applyBorder="1" applyAlignment="1">
      <alignment horizontal="left" vertical="center" wrapText="1"/>
    </xf>
    <xf numFmtId="3" fontId="21" fillId="5" borderId="6" xfId="2" applyNumberFormat="1" applyFont="1" applyFill="1" applyBorder="1" applyAlignment="1">
      <alignment horizontal="right" vertical="center"/>
    </xf>
    <xf numFmtId="10" fontId="23" fillId="5" borderId="30" xfId="1" applyNumberFormat="1" applyFont="1" applyFill="1" applyBorder="1" applyAlignment="1">
      <alignment horizontal="right" vertical="center"/>
    </xf>
    <xf numFmtId="10" fontId="21" fillId="5" borderId="33" xfId="1" applyNumberFormat="1" applyFont="1" applyFill="1" applyBorder="1" applyAlignment="1">
      <alignment horizontal="left" vertical="center"/>
    </xf>
    <xf numFmtId="49" fontId="26" fillId="0" borderId="28" xfId="2" applyNumberFormat="1" applyFont="1" applyBorder="1" applyAlignment="1">
      <alignment horizontal="left" vertical="center" wrapText="1"/>
    </xf>
    <xf numFmtId="0" fontId="27" fillId="6" borderId="28" xfId="2" applyFont="1" applyFill="1" applyBorder="1" applyAlignment="1">
      <alignment vertical="center" wrapText="1"/>
    </xf>
    <xf numFmtId="49" fontId="29" fillId="6" borderId="12" xfId="2" applyNumberFormat="1" applyFont="1" applyFill="1" applyBorder="1" applyAlignment="1">
      <alignment horizontal="center" vertical="center" wrapText="1"/>
    </xf>
    <xf numFmtId="3" fontId="25" fillId="0" borderId="12" xfId="2" applyNumberFormat="1" applyFont="1" applyBorder="1" applyAlignment="1">
      <alignment horizontal="right" vertical="center"/>
    </xf>
    <xf numFmtId="3" fontId="27" fillId="0" borderId="12" xfId="2" applyNumberFormat="1" applyFont="1" applyBorder="1" applyAlignment="1">
      <alignment horizontal="right" vertical="center"/>
    </xf>
    <xf numFmtId="3" fontId="27" fillId="0" borderId="28" xfId="2" applyNumberFormat="1" applyFont="1" applyBorder="1" applyAlignment="1">
      <alignment horizontal="right" vertical="center"/>
    </xf>
    <xf numFmtId="3" fontId="12" fillId="3" borderId="12" xfId="1" applyNumberFormat="1" applyFont="1" applyFill="1" applyBorder="1" applyAlignment="1">
      <alignment horizontal="right" vertical="center"/>
    </xf>
    <xf numFmtId="3" fontId="12" fillId="3" borderId="28" xfId="1" applyNumberFormat="1" applyFont="1" applyFill="1" applyBorder="1" applyAlignment="1">
      <alignment horizontal="right" vertical="center"/>
    </xf>
    <xf numFmtId="10" fontId="18" fillId="0" borderId="23" xfId="1" applyNumberFormat="1" applyFont="1" applyFill="1" applyBorder="1" applyAlignment="1">
      <alignment horizontal="left" vertical="center"/>
    </xf>
    <xf numFmtId="49" fontId="19" fillId="4" borderId="2" xfId="2" applyNumberFormat="1" applyFont="1" applyFill="1" applyBorder="1" applyAlignment="1">
      <alignment horizontal="center" vertical="center" wrapText="1"/>
    </xf>
    <xf numFmtId="10" fontId="17" fillId="4" borderId="9" xfId="1" applyNumberFormat="1" applyFont="1" applyFill="1" applyBorder="1" applyAlignment="1">
      <alignment horizontal="left" vertical="center"/>
    </xf>
    <xf numFmtId="0" fontId="20" fillId="5" borderId="19" xfId="2" quotePrefix="1" applyFont="1" applyFill="1" applyBorder="1" applyAlignment="1">
      <alignment horizontal="left" vertical="center" wrapText="1"/>
    </xf>
    <xf numFmtId="3" fontId="21" fillId="5" borderId="20" xfId="2" applyNumberFormat="1" applyFont="1" applyFill="1" applyBorder="1" applyAlignment="1">
      <alignment horizontal="right" vertical="center"/>
    </xf>
    <xf numFmtId="10" fontId="20" fillId="5" borderId="27" xfId="1" applyNumberFormat="1" applyFont="1" applyFill="1" applyBorder="1" applyAlignment="1">
      <alignment horizontal="right" vertical="center"/>
    </xf>
    <xf numFmtId="10" fontId="21" fillId="5" borderId="16" xfId="1" applyNumberFormat="1" applyFont="1" applyFill="1" applyBorder="1" applyAlignment="1">
      <alignment horizontal="left" vertical="center"/>
    </xf>
    <xf numFmtId="0" fontId="27" fillId="0" borderId="15" xfId="2" applyFont="1" applyBorder="1" applyAlignment="1">
      <alignment horizontal="left" vertical="center" wrapText="1"/>
    </xf>
    <xf numFmtId="49" fontId="29" fillId="0" borderId="14" xfId="2" quotePrefix="1" applyNumberFormat="1" applyFont="1" applyBorder="1" applyAlignment="1">
      <alignment horizontal="center" vertical="center" wrapText="1"/>
    </xf>
    <xf numFmtId="10" fontId="17" fillId="0" borderId="25" xfId="1" applyNumberFormat="1" applyFont="1" applyFill="1" applyBorder="1" applyAlignment="1">
      <alignment horizontal="left" vertical="center"/>
    </xf>
    <xf numFmtId="0" fontId="23" fillId="0" borderId="0" xfId="2" applyFont="1" applyAlignment="1">
      <alignment vertical="center" wrapText="1"/>
    </xf>
    <xf numFmtId="0" fontId="23" fillId="6" borderId="12" xfId="2" applyFont="1" applyFill="1" applyBorder="1" applyAlignment="1">
      <alignment horizontal="center" vertical="center" wrapText="1"/>
    </xf>
    <xf numFmtId="10" fontId="24" fillId="0" borderId="25" xfId="1" applyNumberFormat="1" applyFont="1" applyFill="1" applyBorder="1" applyAlignment="1">
      <alignment horizontal="left" vertical="center"/>
    </xf>
    <xf numFmtId="0" fontId="27" fillId="0" borderId="18" xfId="2" applyFont="1" applyBorder="1" applyAlignment="1">
      <alignment vertical="center" wrapText="1"/>
    </xf>
    <xf numFmtId="0" fontId="29" fillId="6" borderId="19" xfId="2" applyFont="1" applyFill="1" applyBorder="1" applyAlignment="1">
      <alignment horizontal="center" vertical="center" wrapText="1"/>
    </xf>
    <xf numFmtId="49" fontId="28" fillId="0" borderId="28" xfId="2" applyNumberFormat="1" applyFont="1" applyBorder="1" applyAlignment="1">
      <alignment horizontal="center" vertical="center" wrapText="1"/>
    </xf>
    <xf numFmtId="0" fontId="23" fillId="0" borderId="19" xfId="2" applyFont="1" applyBorder="1" applyAlignment="1">
      <alignment vertical="center" wrapText="1"/>
    </xf>
    <xf numFmtId="0" fontId="23" fillId="6" borderId="17" xfId="2" applyFont="1" applyFill="1" applyBorder="1" applyAlignment="1">
      <alignment horizontal="center" vertical="center" wrapText="1"/>
    </xf>
    <xf numFmtId="3" fontId="23" fillId="0" borderId="34" xfId="2" applyNumberFormat="1" applyFont="1" applyBorder="1" applyAlignment="1">
      <alignment horizontal="right" vertical="center"/>
    </xf>
    <xf numFmtId="0" fontId="16" fillId="0" borderId="6" xfId="2" quotePrefix="1" applyFont="1" applyBorder="1" applyAlignment="1">
      <alignment vertical="center" wrapText="1"/>
    </xf>
    <xf numFmtId="3" fontId="20" fillId="5" borderId="30" xfId="2" applyNumberFormat="1" applyFont="1" applyFill="1" applyBorder="1" applyAlignment="1">
      <alignment horizontal="right" vertical="center"/>
    </xf>
    <xf numFmtId="49" fontId="12" fillId="3" borderId="2" xfId="2" applyNumberFormat="1" applyFont="1" applyFill="1" applyBorder="1" applyAlignment="1">
      <alignment horizontal="center" vertical="center" wrapText="1"/>
    </xf>
    <xf numFmtId="49" fontId="12" fillId="3" borderId="9" xfId="2" applyNumberFormat="1" applyFont="1" applyFill="1" applyBorder="1" applyAlignment="1">
      <alignment horizontal="center" vertical="center" wrapText="1"/>
    </xf>
    <xf numFmtId="49" fontId="12" fillId="3" borderId="11" xfId="2" applyNumberFormat="1" applyFont="1" applyFill="1" applyBorder="1" applyAlignment="1">
      <alignment horizontal="left" vertical="center" wrapText="1"/>
    </xf>
    <xf numFmtId="49" fontId="12" fillId="3" borderId="2" xfId="2" applyNumberFormat="1" applyFont="1" applyFill="1" applyBorder="1" applyAlignment="1">
      <alignment horizontal="left" vertical="center" wrapText="1"/>
    </xf>
    <xf numFmtId="49" fontId="19" fillId="4" borderId="9" xfId="2" applyNumberFormat="1" applyFont="1" applyFill="1" applyBorder="1" applyAlignment="1">
      <alignment horizontal="center" vertical="center" wrapText="1"/>
    </xf>
    <xf numFmtId="3" fontId="17" fillId="4" borderId="3" xfId="2" applyNumberFormat="1" applyFont="1" applyFill="1" applyBorder="1" applyAlignment="1">
      <alignment horizontal="right" vertical="center"/>
    </xf>
    <xf numFmtId="3" fontId="17" fillId="4" borderId="4" xfId="2" applyNumberFormat="1" applyFont="1" applyFill="1" applyBorder="1" applyAlignment="1">
      <alignment horizontal="right" vertical="center"/>
    </xf>
    <xf numFmtId="0" fontId="23" fillId="0" borderId="20" xfId="2" applyFont="1" applyBorder="1" applyAlignment="1">
      <alignment vertical="center" wrapText="1"/>
    </xf>
    <xf numFmtId="0" fontId="23" fillId="6" borderId="19" xfId="2" applyFont="1" applyFill="1" applyBorder="1" applyAlignment="1">
      <alignment horizontal="center" vertical="center" wrapText="1"/>
    </xf>
    <xf numFmtId="0" fontId="20" fillId="5" borderId="6" xfId="2" quotePrefix="1" applyFont="1" applyFill="1" applyBorder="1" applyAlignment="1">
      <alignment horizontal="left" vertical="center" wrapText="1"/>
    </xf>
    <xf numFmtId="3" fontId="20" fillId="5" borderId="34" xfId="2" applyNumberFormat="1" applyFont="1" applyFill="1" applyBorder="1" applyAlignment="1">
      <alignment horizontal="right" vertical="center"/>
    </xf>
    <xf numFmtId="49" fontId="12" fillId="3" borderId="10" xfId="2" applyNumberFormat="1" applyFont="1" applyFill="1" applyBorder="1" applyAlignment="1">
      <alignment horizontal="left" vertical="center" wrapText="1"/>
    </xf>
    <xf numFmtId="3" fontId="17" fillId="3" borderId="2" xfId="2" applyNumberFormat="1" applyFont="1" applyFill="1" applyBorder="1" applyAlignment="1">
      <alignment horizontal="right" vertical="center"/>
    </xf>
    <xf numFmtId="3" fontId="17" fillId="3" borderId="10" xfId="2" applyNumberFormat="1" applyFont="1" applyFill="1" applyBorder="1" applyAlignment="1">
      <alignment horizontal="right" vertical="center"/>
    </xf>
    <xf numFmtId="10" fontId="17" fillId="3" borderId="5" xfId="1" applyNumberFormat="1" applyFont="1" applyFill="1" applyBorder="1" applyAlignment="1">
      <alignment horizontal="left" vertical="center"/>
    </xf>
    <xf numFmtId="0" fontId="20" fillId="5" borderId="14" xfId="2" quotePrefix="1" applyFont="1" applyFill="1" applyBorder="1" applyAlignment="1">
      <alignment horizontal="left" vertical="center" wrapText="1"/>
    </xf>
    <xf numFmtId="3" fontId="21" fillId="5" borderId="14" xfId="2" applyNumberFormat="1" applyFont="1" applyFill="1" applyBorder="1" applyAlignment="1">
      <alignment horizontal="right" vertical="center"/>
    </xf>
    <xf numFmtId="3" fontId="21" fillId="5" borderId="15" xfId="2" applyNumberFormat="1" applyFont="1" applyFill="1" applyBorder="1" applyAlignment="1">
      <alignment horizontal="right" vertical="center"/>
    </xf>
    <xf numFmtId="0" fontId="23" fillId="6" borderId="18" xfId="2" applyFont="1" applyFill="1" applyBorder="1" applyAlignment="1">
      <alignment vertical="center" wrapText="1"/>
    </xf>
    <xf numFmtId="49" fontId="12" fillId="3" borderId="5" xfId="2" applyNumberFormat="1" applyFont="1" applyFill="1" applyBorder="1" applyAlignment="1">
      <alignment horizontal="center" vertical="center" wrapText="1"/>
    </xf>
    <xf numFmtId="49" fontId="12" fillId="3" borderId="4" xfId="2" applyNumberFormat="1" applyFont="1" applyFill="1" applyBorder="1" applyAlignment="1">
      <alignment horizontal="left" vertical="center" wrapText="1"/>
    </xf>
    <xf numFmtId="49" fontId="12" fillId="3" borderId="3" xfId="2" applyNumberFormat="1" applyFont="1" applyFill="1" applyBorder="1" applyAlignment="1">
      <alignment horizontal="left" vertical="center" wrapText="1"/>
    </xf>
    <xf numFmtId="3" fontId="12" fillId="3" borderId="17" xfId="2" applyNumberFormat="1" applyFont="1" applyFill="1" applyBorder="1" applyAlignment="1">
      <alignment horizontal="right" vertical="center"/>
    </xf>
    <xf numFmtId="3" fontId="12" fillId="3" borderId="2" xfId="2" applyNumberFormat="1" applyFont="1" applyFill="1" applyBorder="1" applyAlignment="1">
      <alignment horizontal="right" vertical="center"/>
    </xf>
    <xf numFmtId="3" fontId="12" fillId="3" borderId="10" xfId="2" applyNumberFormat="1" applyFont="1" applyFill="1" applyBorder="1" applyAlignment="1">
      <alignment horizontal="right" vertical="center"/>
    </xf>
    <xf numFmtId="0" fontId="12" fillId="0" borderId="3" xfId="2" quotePrefix="1" applyFont="1" applyBorder="1" applyAlignment="1">
      <alignment vertical="center" wrapText="1"/>
    </xf>
    <xf numFmtId="49" fontId="12" fillId="4" borderId="9" xfId="2" applyNumberFormat="1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vertical="center" wrapText="1"/>
    </xf>
    <xf numFmtId="0" fontId="12" fillId="4" borderId="2" xfId="2" applyFont="1" applyFill="1" applyBorder="1" applyAlignment="1">
      <alignment vertical="center" wrapText="1"/>
    </xf>
    <xf numFmtId="0" fontId="12" fillId="0" borderId="12" xfId="2" quotePrefix="1" applyFont="1" applyBorder="1" applyAlignment="1">
      <alignment vertical="center" wrapText="1"/>
    </xf>
    <xf numFmtId="0" fontId="20" fillId="5" borderId="3" xfId="2" quotePrefix="1" applyFont="1" applyFill="1" applyBorder="1" applyAlignment="1">
      <alignment horizontal="left" vertical="center" wrapText="1"/>
    </xf>
    <xf numFmtId="3" fontId="21" fillId="5" borderId="23" xfId="2" applyNumberFormat="1" applyFont="1" applyFill="1" applyBorder="1" applyAlignment="1">
      <alignment horizontal="right" vertical="center"/>
    </xf>
    <xf numFmtId="3" fontId="21" fillId="5" borderId="0" xfId="2" applyNumberFormat="1" applyFont="1" applyFill="1" applyAlignment="1">
      <alignment horizontal="right" vertical="center"/>
    </xf>
    <xf numFmtId="10" fontId="23" fillId="5" borderId="27" xfId="1" applyNumberFormat="1" applyFont="1" applyFill="1" applyBorder="1" applyAlignment="1">
      <alignment horizontal="right" vertical="center"/>
    </xf>
    <xf numFmtId="0" fontId="23" fillId="0" borderId="20" xfId="2" quotePrefix="1" applyFont="1" applyBorder="1" applyAlignment="1">
      <alignment vertical="center" wrapText="1"/>
    </xf>
    <xf numFmtId="3" fontId="24" fillId="0" borderId="25" xfId="3" applyNumberFormat="1" applyFont="1" applyFill="1" applyBorder="1" applyAlignment="1">
      <alignment horizontal="right" vertical="center"/>
    </xf>
    <xf numFmtId="3" fontId="23" fillId="0" borderId="25" xfId="2" applyNumberFormat="1" applyFont="1" applyBorder="1" applyAlignment="1">
      <alignment horizontal="right" vertical="center"/>
    </xf>
    <xf numFmtId="0" fontId="23" fillId="6" borderId="18" xfId="2" quotePrefix="1" applyFont="1" applyFill="1" applyBorder="1" applyAlignment="1">
      <alignment horizontal="left" vertical="center" wrapText="1"/>
    </xf>
    <xf numFmtId="0" fontId="12" fillId="0" borderId="6" xfId="2" quotePrefix="1" applyFont="1" applyBorder="1" applyAlignment="1">
      <alignment vertical="center" wrapText="1"/>
    </xf>
    <xf numFmtId="0" fontId="23" fillId="6" borderId="30" xfId="2" quotePrefix="1" applyFont="1" applyFill="1" applyBorder="1" applyAlignment="1">
      <alignment vertical="center" wrapText="1"/>
    </xf>
    <xf numFmtId="0" fontId="23" fillId="6" borderId="30" xfId="2" quotePrefix="1" applyFont="1" applyFill="1" applyBorder="1" applyAlignment="1">
      <alignment horizontal="center" vertical="center" wrapText="1"/>
    </xf>
    <xf numFmtId="3" fontId="24" fillId="0" borderId="33" xfId="3" applyNumberFormat="1" applyFont="1" applyFill="1" applyBorder="1" applyAlignment="1">
      <alignment horizontal="right" vertical="center"/>
    </xf>
    <xf numFmtId="3" fontId="23" fillId="0" borderId="33" xfId="2" applyNumberFormat="1" applyFont="1" applyBorder="1" applyAlignment="1">
      <alignment horizontal="right" vertical="center"/>
    </xf>
    <xf numFmtId="3" fontId="23" fillId="0" borderId="31" xfId="2" applyNumberFormat="1" applyFont="1" applyBorder="1" applyAlignment="1">
      <alignment horizontal="right" vertical="center"/>
    </xf>
    <xf numFmtId="10" fontId="23" fillId="0" borderId="30" xfId="1" applyNumberFormat="1" applyFont="1" applyFill="1" applyBorder="1" applyAlignment="1">
      <alignment horizontal="right" vertical="center"/>
    </xf>
    <xf numFmtId="3" fontId="23" fillId="0" borderId="33" xfId="1" applyNumberFormat="1" applyFont="1" applyFill="1" applyBorder="1" applyAlignment="1">
      <alignment horizontal="right" vertical="center"/>
    </xf>
    <xf numFmtId="3" fontId="23" fillId="0" borderId="29" xfId="1" applyNumberFormat="1" applyFont="1" applyFill="1" applyBorder="1" applyAlignment="1">
      <alignment horizontal="right" vertical="center"/>
    </xf>
    <xf numFmtId="10" fontId="24" fillId="0" borderId="30" xfId="1" applyNumberFormat="1" applyFont="1" applyFill="1" applyBorder="1" applyAlignment="1">
      <alignment horizontal="right" vertical="center"/>
    </xf>
    <xf numFmtId="3" fontId="21" fillId="5" borderId="37" xfId="2" applyNumberFormat="1" applyFont="1" applyFill="1" applyBorder="1" applyAlignment="1">
      <alignment horizontal="right" vertical="center"/>
    </xf>
    <xf numFmtId="3" fontId="21" fillId="5" borderId="13" xfId="2" applyNumberFormat="1" applyFont="1" applyFill="1" applyBorder="1" applyAlignment="1">
      <alignment horizontal="right" vertical="center"/>
    </xf>
    <xf numFmtId="10" fontId="21" fillId="5" borderId="27" xfId="1" applyNumberFormat="1" applyFont="1" applyFill="1" applyBorder="1" applyAlignment="1">
      <alignment horizontal="right" vertical="center"/>
    </xf>
    <xf numFmtId="0" fontId="23" fillId="0" borderId="19" xfId="2" quotePrefix="1" applyFont="1" applyBorder="1" applyAlignment="1">
      <alignment horizontal="left" vertical="center" wrapText="1"/>
    </xf>
    <xf numFmtId="0" fontId="23" fillId="6" borderId="17" xfId="2" quotePrefix="1" applyFont="1" applyFill="1" applyBorder="1" applyAlignment="1">
      <alignment horizontal="center" vertical="center" wrapText="1"/>
    </xf>
    <xf numFmtId="3" fontId="24" fillId="0" borderId="22" xfId="2" applyNumberFormat="1" applyFont="1" applyBorder="1" applyAlignment="1">
      <alignment horizontal="right" vertical="center"/>
    </xf>
    <xf numFmtId="3" fontId="24" fillId="0" borderId="25" xfId="2" applyNumberFormat="1" applyFont="1" applyBorder="1" applyAlignment="1">
      <alignment horizontal="right" vertical="center"/>
    </xf>
    <xf numFmtId="3" fontId="24" fillId="0" borderId="21" xfId="2" applyNumberFormat="1" applyFont="1" applyBorder="1" applyAlignment="1">
      <alignment horizontal="right" vertical="center"/>
    </xf>
    <xf numFmtId="0" fontId="20" fillId="6" borderId="1" xfId="2" applyFont="1" applyFill="1" applyBorder="1" applyAlignment="1">
      <alignment vertical="center" wrapText="1"/>
    </xf>
    <xf numFmtId="0" fontId="23" fillId="0" borderId="6" xfId="2" quotePrefix="1" applyFont="1" applyBorder="1" applyAlignment="1">
      <alignment horizontal="left" vertical="center" wrapText="1"/>
    </xf>
    <xf numFmtId="10" fontId="24" fillId="0" borderId="33" xfId="1" applyNumberFormat="1" applyFont="1" applyFill="1" applyBorder="1" applyAlignment="1">
      <alignment horizontal="left" vertical="center"/>
    </xf>
    <xf numFmtId="49" fontId="28" fillId="4" borderId="16" xfId="2" applyNumberFormat="1" applyFont="1" applyFill="1" applyBorder="1" applyAlignment="1">
      <alignment horizontal="center" vertical="center" wrapText="1"/>
    </xf>
    <xf numFmtId="0" fontId="28" fillId="4" borderId="15" xfId="2" applyFont="1" applyFill="1" applyBorder="1" applyAlignment="1">
      <alignment vertical="center" wrapText="1"/>
    </xf>
    <xf numFmtId="3" fontId="18" fillId="4" borderId="14" xfId="3" applyNumberFormat="1" applyFont="1" applyFill="1" applyBorder="1" applyAlignment="1">
      <alignment horizontal="right" vertical="center"/>
    </xf>
    <xf numFmtId="3" fontId="27" fillId="4" borderId="16" xfId="2" applyNumberFormat="1" applyFont="1" applyFill="1" applyBorder="1" applyAlignment="1">
      <alignment horizontal="right" vertical="center"/>
    </xf>
    <xf numFmtId="3" fontId="27" fillId="4" borderId="15" xfId="2" applyNumberFormat="1" applyFont="1" applyFill="1" applyBorder="1" applyAlignment="1">
      <alignment horizontal="right" vertical="center"/>
    </xf>
    <xf numFmtId="10" fontId="24" fillId="0" borderId="14" xfId="1" applyNumberFormat="1" applyFont="1" applyFill="1" applyBorder="1" applyAlignment="1">
      <alignment horizontal="right" vertical="center"/>
    </xf>
    <xf numFmtId="10" fontId="18" fillId="0" borderId="16" xfId="1" applyNumberFormat="1" applyFont="1" applyFill="1" applyBorder="1" applyAlignment="1">
      <alignment horizontal="left" vertical="center"/>
    </xf>
    <xf numFmtId="0" fontId="26" fillId="5" borderId="28" xfId="2" quotePrefix="1" applyFont="1" applyFill="1" applyBorder="1" applyAlignment="1">
      <alignment horizontal="left" vertical="center" wrapText="1"/>
    </xf>
    <xf numFmtId="3" fontId="22" fillId="5" borderId="19" xfId="3" applyNumberFormat="1" applyFont="1" applyFill="1" applyBorder="1" applyAlignment="1">
      <alignment horizontal="right" vertical="center"/>
    </xf>
    <xf numFmtId="3" fontId="27" fillId="5" borderId="25" xfId="2" applyNumberFormat="1" applyFont="1" applyFill="1" applyBorder="1" applyAlignment="1">
      <alignment horizontal="right" vertical="center"/>
    </xf>
    <xf numFmtId="3" fontId="27" fillId="5" borderId="20" xfId="2" applyNumberFormat="1" applyFont="1" applyFill="1" applyBorder="1" applyAlignment="1">
      <alignment horizontal="right" vertical="center"/>
    </xf>
    <xf numFmtId="0" fontId="26" fillId="6" borderId="22" xfId="2" applyFont="1" applyFill="1" applyBorder="1" applyAlignment="1">
      <alignment vertical="center" wrapText="1"/>
    </xf>
    <xf numFmtId="0" fontId="27" fillId="6" borderId="20" xfId="2" quotePrefix="1" applyFont="1" applyFill="1" applyBorder="1" applyAlignment="1">
      <alignment vertical="center" wrapText="1"/>
    </xf>
    <xf numFmtId="0" fontId="27" fillId="6" borderId="20" xfId="2" quotePrefix="1" applyFont="1" applyFill="1" applyBorder="1" applyAlignment="1">
      <alignment horizontal="center" vertical="center" wrapText="1"/>
    </xf>
    <xf numFmtId="3" fontId="27" fillId="0" borderId="25" xfId="2" applyNumberFormat="1" applyFont="1" applyBorder="1" applyAlignment="1">
      <alignment horizontal="right" vertical="center"/>
    </xf>
    <xf numFmtId="0" fontId="26" fillId="6" borderId="23" xfId="2" applyFont="1" applyFill="1" applyBorder="1" applyAlignment="1">
      <alignment vertical="center" wrapText="1"/>
    </xf>
    <xf numFmtId="0" fontId="26" fillId="6" borderId="16" xfId="2" applyFont="1" applyFill="1" applyBorder="1" applyAlignment="1">
      <alignment vertical="center" wrapText="1"/>
    </xf>
    <xf numFmtId="0" fontId="26" fillId="5" borderId="34" xfId="2" quotePrefix="1" applyFont="1" applyFill="1" applyBorder="1" applyAlignment="1">
      <alignment horizontal="left" vertical="center" wrapText="1"/>
    </xf>
    <xf numFmtId="3" fontId="22" fillId="5" borderId="30" xfId="3" applyNumberFormat="1" applyFont="1" applyFill="1" applyBorder="1" applyAlignment="1">
      <alignment horizontal="right" vertical="center"/>
    </xf>
    <xf numFmtId="3" fontId="27" fillId="5" borderId="22" xfId="2" applyNumberFormat="1" applyFont="1" applyFill="1" applyBorder="1" applyAlignment="1">
      <alignment horizontal="right" vertical="center"/>
    </xf>
    <xf numFmtId="3" fontId="27" fillId="5" borderId="34" xfId="2" applyNumberFormat="1" applyFont="1" applyFill="1" applyBorder="1" applyAlignment="1">
      <alignment horizontal="right" vertical="center"/>
    </xf>
    <xf numFmtId="0" fontId="12" fillId="3" borderId="2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vertical="center" wrapText="1"/>
    </xf>
    <xf numFmtId="10" fontId="17" fillId="3" borderId="3" xfId="1" applyNumberFormat="1" applyFont="1" applyFill="1" applyBorder="1" applyAlignment="1">
      <alignment horizontal="right" vertical="center"/>
    </xf>
    <xf numFmtId="0" fontId="27" fillId="0" borderId="3" xfId="2" applyFont="1" applyBorder="1" applyAlignment="1">
      <alignment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27" fillId="0" borderId="12" xfId="2" applyFont="1" applyBorder="1" applyAlignment="1">
      <alignment vertical="center" wrapText="1"/>
    </xf>
    <xf numFmtId="0" fontId="20" fillId="6" borderId="23" xfId="2" applyFont="1" applyFill="1" applyBorder="1" applyAlignment="1">
      <alignment horizontal="center" vertical="center" wrapText="1"/>
    </xf>
    <xf numFmtId="0" fontId="23" fillId="0" borderId="24" xfId="2" applyFont="1" applyBorder="1" applyAlignment="1">
      <alignment vertical="center"/>
    </xf>
    <xf numFmtId="49" fontId="23" fillId="6" borderId="14" xfId="2" applyNumberFormat="1" applyFont="1" applyFill="1" applyBorder="1" applyAlignment="1">
      <alignment horizontal="center" vertical="center"/>
    </xf>
    <xf numFmtId="3" fontId="24" fillId="0" borderId="14" xfId="3" applyNumberFormat="1" applyFont="1" applyFill="1" applyBorder="1" applyAlignment="1">
      <alignment horizontal="right" vertical="center"/>
    </xf>
    <xf numFmtId="0" fontId="23" fillId="0" borderId="15" xfId="2" applyFont="1" applyBorder="1" applyAlignment="1">
      <alignment vertical="center" wrapText="1"/>
    </xf>
    <xf numFmtId="3" fontId="3" fillId="0" borderId="0" xfId="2" applyNumberFormat="1"/>
    <xf numFmtId="0" fontId="23" fillId="6" borderId="20" xfId="2" applyFont="1" applyFill="1" applyBorder="1" applyAlignment="1">
      <alignment horizontal="left" vertical="center" wrapText="1"/>
    </xf>
    <xf numFmtId="49" fontId="23" fillId="0" borderId="19" xfId="2" applyNumberFormat="1" applyFont="1" applyBorder="1" applyAlignment="1">
      <alignment horizontal="center" vertical="center" wrapText="1"/>
    </xf>
    <xf numFmtId="3" fontId="23" fillId="0" borderId="14" xfId="2" applyNumberFormat="1" applyFont="1" applyBorder="1" applyAlignment="1">
      <alignment horizontal="right" vertical="center"/>
    </xf>
    <xf numFmtId="3" fontId="23" fillId="0" borderId="15" xfId="2" applyNumberFormat="1" applyFont="1" applyBorder="1" applyAlignment="1">
      <alignment horizontal="right" vertical="center"/>
    </xf>
    <xf numFmtId="0" fontId="20" fillId="6" borderId="8" xfId="2" applyFont="1" applyFill="1" applyBorder="1" applyAlignment="1">
      <alignment horizontal="center" vertical="center" wrapText="1"/>
    </xf>
    <xf numFmtId="0" fontId="23" fillId="0" borderId="31" xfId="2" applyFont="1" applyBorder="1" applyAlignment="1">
      <alignment vertical="center" wrapText="1"/>
    </xf>
    <xf numFmtId="49" fontId="23" fillId="6" borderId="30" xfId="2" applyNumberFormat="1" applyFont="1" applyFill="1" applyBorder="1" applyAlignment="1">
      <alignment horizontal="center" vertical="center" wrapText="1"/>
    </xf>
    <xf numFmtId="3" fontId="24" fillId="0" borderId="30" xfId="3" applyNumberFormat="1" applyFont="1" applyFill="1" applyBorder="1" applyAlignment="1">
      <alignment horizontal="right" vertical="center"/>
    </xf>
    <xf numFmtId="0" fontId="20" fillId="5" borderId="19" xfId="2" applyFont="1" applyFill="1" applyBorder="1" applyAlignment="1">
      <alignment horizontal="left" vertical="center" wrapText="1"/>
    </xf>
    <xf numFmtId="3" fontId="23" fillId="5" borderId="19" xfId="2" applyNumberFormat="1" applyFont="1" applyFill="1" applyBorder="1" applyAlignment="1">
      <alignment horizontal="right" vertical="center"/>
    </xf>
    <xf numFmtId="3" fontId="23" fillId="5" borderId="20" xfId="2" applyNumberFormat="1" applyFont="1" applyFill="1" applyBorder="1" applyAlignment="1">
      <alignment horizontal="right" vertical="center"/>
    </xf>
    <xf numFmtId="10" fontId="20" fillId="5" borderId="19" xfId="1" applyNumberFormat="1" applyFont="1" applyFill="1" applyBorder="1" applyAlignment="1">
      <alignment horizontal="right" vertical="center"/>
    </xf>
    <xf numFmtId="10" fontId="21" fillId="5" borderId="19" xfId="1" applyNumberFormat="1" applyFont="1" applyFill="1" applyBorder="1" applyAlignment="1">
      <alignment horizontal="right" vertical="center"/>
    </xf>
    <xf numFmtId="10" fontId="21" fillId="5" borderId="25" xfId="1" applyNumberFormat="1" applyFont="1" applyFill="1" applyBorder="1" applyAlignment="1">
      <alignment horizontal="left" vertical="center"/>
    </xf>
    <xf numFmtId="0" fontId="20" fillId="0" borderId="2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0" fontId="23" fillId="0" borderId="6" xfId="2" applyFont="1" applyBorder="1" applyAlignment="1">
      <alignment horizontal="center" vertical="center" wrapText="1"/>
    </xf>
    <xf numFmtId="3" fontId="24" fillId="0" borderId="6" xfId="3" applyNumberFormat="1" applyFont="1" applyFill="1" applyBorder="1" applyAlignment="1">
      <alignment horizontal="right" vertical="center"/>
    </xf>
    <xf numFmtId="0" fontId="20" fillId="0" borderId="33" xfId="2" applyFont="1" applyBorder="1" applyAlignment="1">
      <alignment horizontal="center" vertical="center" wrapText="1"/>
    </xf>
    <xf numFmtId="3" fontId="23" fillId="0" borderId="22" xfId="1" applyNumberFormat="1" applyFont="1" applyFill="1" applyBorder="1" applyAlignment="1">
      <alignment horizontal="right" vertical="center"/>
    </xf>
    <xf numFmtId="10" fontId="12" fillId="4" borderId="12" xfId="1" applyNumberFormat="1" applyFont="1" applyFill="1" applyBorder="1" applyAlignment="1">
      <alignment horizontal="right" vertical="center"/>
    </xf>
    <xf numFmtId="49" fontId="23" fillId="6" borderId="17" xfId="2" applyNumberFormat="1" applyFont="1" applyFill="1" applyBorder="1" applyAlignment="1">
      <alignment horizontal="center" vertical="center" wrapText="1"/>
    </xf>
    <xf numFmtId="10" fontId="23" fillId="5" borderId="19" xfId="1" applyNumberFormat="1" applyFont="1" applyFill="1" applyBorder="1" applyAlignment="1">
      <alignment horizontal="right" vertical="center"/>
    </xf>
    <xf numFmtId="0" fontId="20" fillId="0" borderId="17" xfId="2" applyFont="1" applyBorder="1" applyAlignment="1">
      <alignment vertical="center" wrapText="1"/>
    </xf>
    <xf numFmtId="0" fontId="23" fillId="0" borderId="19" xfId="2" applyFont="1" applyBorder="1" applyAlignment="1">
      <alignment horizontal="left" vertical="center" wrapText="1"/>
    </xf>
    <xf numFmtId="0" fontId="23" fillId="0" borderId="19" xfId="2" applyFont="1" applyBorder="1" applyAlignment="1">
      <alignment horizontal="center" vertical="center" wrapText="1"/>
    </xf>
    <xf numFmtId="0" fontId="20" fillId="0" borderId="12" xfId="2" applyFont="1" applyBorder="1" applyAlignment="1">
      <alignment vertical="center" wrapText="1"/>
    </xf>
    <xf numFmtId="0" fontId="23" fillId="0" borderId="14" xfId="2" applyFont="1" applyBorder="1" applyAlignment="1">
      <alignment horizontal="left" vertical="center" wrapText="1"/>
    </xf>
    <xf numFmtId="0" fontId="23" fillId="6" borderId="14" xfId="2" applyFont="1" applyFill="1" applyBorder="1" applyAlignment="1">
      <alignment horizontal="center" vertical="center" wrapText="1"/>
    </xf>
    <xf numFmtId="10" fontId="25" fillId="0" borderId="16" xfId="1" applyNumberFormat="1" applyFont="1" applyFill="1" applyBorder="1" applyAlignment="1">
      <alignment horizontal="left" vertical="center"/>
    </xf>
    <xf numFmtId="0" fontId="20" fillId="0" borderId="6" xfId="2" applyFont="1" applyBorder="1" applyAlignment="1">
      <alignment vertical="center" wrapText="1"/>
    </xf>
    <xf numFmtId="0" fontId="23" fillId="6" borderId="38" xfId="4" applyFont="1" applyFill="1" applyBorder="1" applyAlignment="1">
      <alignment horizontal="left" vertical="center" wrapText="1"/>
    </xf>
    <xf numFmtId="0" fontId="23" fillId="6" borderId="6" xfId="2" applyFont="1" applyFill="1" applyBorder="1" applyAlignment="1">
      <alignment horizontal="center" vertical="center" wrapText="1"/>
    </xf>
    <xf numFmtId="10" fontId="25" fillId="0" borderId="22" xfId="1" applyNumberFormat="1" applyFont="1" applyFill="1" applyBorder="1" applyAlignment="1">
      <alignment horizontal="left" vertical="center"/>
    </xf>
    <xf numFmtId="0" fontId="20" fillId="0" borderId="17" xfId="2" applyFont="1" applyBorder="1" applyAlignment="1">
      <alignment horizontal="left" vertical="center" wrapText="1"/>
    </xf>
    <xf numFmtId="0" fontId="23" fillId="0" borderId="24" xfId="2" applyFont="1" applyBorder="1" applyAlignment="1">
      <alignment vertical="center" wrapText="1"/>
    </xf>
    <xf numFmtId="10" fontId="23" fillId="3" borderId="19" xfId="1" applyNumberFormat="1" applyFont="1" applyFill="1" applyBorder="1" applyAlignment="1">
      <alignment horizontal="right" vertical="center"/>
    </xf>
    <xf numFmtId="3" fontId="23" fillId="3" borderId="25" xfId="1" applyNumberFormat="1" applyFont="1" applyFill="1" applyBorder="1" applyAlignment="1">
      <alignment horizontal="right" vertical="center"/>
    </xf>
    <xf numFmtId="0" fontId="20" fillId="0" borderId="12" xfId="2" applyFont="1" applyBorder="1" applyAlignment="1">
      <alignment horizontal="left" vertical="center" wrapText="1"/>
    </xf>
    <xf numFmtId="3" fontId="23" fillId="5" borderId="22" xfId="1" applyNumberFormat="1" applyFont="1" applyFill="1" applyBorder="1" applyAlignment="1">
      <alignment horizontal="right" vertical="center"/>
    </xf>
    <xf numFmtId="10" fontId="21" fillId="5" borderId="17" xfId="1" applyNumberFormat="1" applyFont="1" applyFill="1" applyBorder="1" applyAlignment="1">
      <alignment horizontal="right" vertical="center"/>
    </xf>
    <xf numFmtId="10" fontId="22" fillId="5" borderId="33" xfId="1" applyNumberFormat="1" applyFont="1" applyFill="1" applyBorder="1" applyAlignment="1">
      <alignment horizontal="left" vertical="center"/>
    </xf>
    <xf numFmtId="0" fontId="19" fillId="4" borderId="8" xfId="2" applyFont="1" applyFill="1" applyBorder="1" applyAlignment="1">
      <alignment horizontal="center" vertical="center" wrapText="1"/>
    </xf>
    <xf numFmtId="0" fontId="19" fillId="4" borderId="7" xfId="2" applyFont="1" applyFill="1" applyBorder="1" applyAlignment="1">
      <alignment vertical="center" wrapText="1"/>
    </xf>
    <xf numFmtId="0" fontId="19" fillId="4" borderId="6" xfId="2" applyFont="1" applyFill="1" applyBorder="1" applyAlignment="1">
      <alignment vertical="center" wrapText="1"/>
    </xf>
    <xf numFmtId="3" fontId="17" fillId="4" borderId="6" xfId="2" applyNumberFormat="1" applyFont="1" applyFill="1" applyBorder="1" applyAlignment="1">
      <alignment horizontal="right" vertical="center"/>
    </xf>
    <xf numFmtId="3" fontId="17" fillId="4" borderId="7" xfId="2" applyNumberFormat="1" applyFont="1" applyFill="1" applyBorder="1" applyAlignment="1">
      <alignment horizontal="right" vertical="center"/>
    </xf>
    <xf numFmtId="10" fontId="17" fillId="4" borderId="8" xfId="1" applyNumberFormat="1" applyFont="1" applyFill="1" applyBorder="1" applyAlignment="1">
      <alignment horizontal="left" vertical="center"/>
    </xf>
    <xf numFmtId="0" fontId="20" fillId="5" borderId="12" xfId="2" quotePrefix="1" applyFont="1" applyFill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 wrapText="1"/>
    </xf>
    <xf numFmtId="49" fontId="23" fillId="6" borderId="19" xfId="2" quotePrefix="1" applyNumberFormat="1" applyFont="1" applyFill="1" applyBorder="1" applyAlignment="1">
      <alignment horizontal="center" vertical="center" wrapText="1"/>
    </xf>
    <xf numFmtId="49" fontId="23" fillId="6" borderId="17" xfId="2" quotePrefix="1" applyNumberFormat="1" applyFont="1" applyFill="1" applyBorder="1" applyAlignment="1">
      <alignment horizontal="center" vertical="center" wrapText="1"/>
    </xf>
    <xf numFmtId="3" fontId="24" fillId="6" borderId="19" xfId="3" applyNumberFormat="1" applyFont="1" applyFill="1" applyBorder="1" applyAlignment="1">
      <alignment horizontal="right" vertical="center"/>
    </xf>
    <xf numFmtId="0" fontId="6" fillId="0" borderId="12" xfId="2" applyFont="1" applyBorder="1" applyAlignment="1">
      <alignment vertical="center" wrapText="1"/>
    </xf>
    <xf numFmtId="0" fontId="31" fillId="4" borderId="9" xfId="2" applyFont="1" applyFill="1" applyBorder="1" applyAlignment="1">
      <alignment horizontal="center" vertical="center" wrapText="1"/>
    </xf>
    <xf numFmtId="0" fontId="31" fillId="4" borderId="10" xfId="2" applyFont="1" applyFill="1" applyBorder="1" applyAlignment="1">
      <alignment vertical="center" wrapText="1"/>
    </xf>
    <xf numFmtId="0" fontId="31" fillId="4" borderId="2" xfId="2" applyFont="1" applyFill="1" applyBorder="1" applyAlignment="1">
      <alignment vertical="center" wrapText="1"/>
    </xf>
    <xf numFmtId="3" fontId="32" fillId="4" borderId="3" xfId="2" applyNumberFormat="1" applyFont="1" applyFill="1" applyBorder="1" applyAlignment="1">
      <alignment horizontal="right" vertical="center"/>
    </xf>
    <xf numFmtId="3" fontId="32" fillId="4" borderId="4" xfId="2" applyNumberFormat="1" applyFont="1" applyFill="1" applyBorder="1" applyAlignment="1">
      <alignment horizontal="right" vertical="center"/>
    </xf>
    <xf numFmtId="10" fontId="32" fillId="4" borderId="9" xfId="1" applyNumberFormat="1" applyFont="1" applyFill="1" applyBorder="1" applyAlignment="1">
      <alignment horizontal="left" vertical="center"/>
    </xf>
    <xf numFmtId="0" fontId="33" fillId="5" borderId="27" xfId="2" quotePrefix="1" applyFont="1" applyFill="1" applyBorder="1" applyAlignment="1">
      <alignment horizontal="left" vertical="center" wrapText="1"/>
    </xf>
    <xf numFmtId="3" fontId="10" fillId="5" borderId="13" xfId="2" applyNumberFormat="1" applyFont="1" applyFill="1" applyBorder="1" applyAlignment="1">
      <alignment horizontal="right" vertical="center"/>
    </xf>
    <xf numFmtId="3" fontId="10" fillId="5" borderId="27" xfId="2" applyNumberFormat="1" applyFont="1" applyFill="1" applyBorder="1" applyAlignment="1">
      <alignment horizontal="right" vertical="center"/>
    </xf>
    <xf numFmtId="3" fontId="10" fillId="5" borderId="26" xfId="2" applyNumberFormat="1" applyFont="1" applyFill="1" applyBorder="1" applyAlignment="1">
      <alignment horizontal="right" vertical="center"/>
    </xf>
    <xf numFmtId="10" fontId="10" fillId="5" borderId="16" xfId="1" applyNumberFormat="1" applyFont="1" applyFill="1" applyBorder="1" applyAlignment="1">
      <alignment horizontal="left" vertical="center"/>
    </xf>
    <xf numFmtId="49" fontId="6" fillId="6" borderId="19" xfId="2" quotePrefix="1" applyNumberFormat="1" applyFont="1" applyFill="1" applyBorder="1" applyAlignment="1">
      <alignment horizontal="center" vertical="center" wrapText="1"/>
    </xf>
    <xf numFmtId="3" fontId="35" fillId="0" borderId="21" xfId="3" applyNumberFormat="1" applyFont="1" applyFill="1" applyBorder="1" applyAlignment="1">
      <alignment horizontal="right" vertical="center"/>
    </xf>
    <xf numFmtId="3" fontId="6" fillId="0" borderId="19" xfId="2" applyNumberFormat="1" applyFont="1" applyBorder="1" applyAlignment="1">
      <alignment horizontal="right" vertical="center"/>
    </xf>
    <xf numFmtId="3" fontId="6" fillId="0" borderId="21" xfId="2" applyNumberFormat="1" applyFont="1" applyBorder="1" applyAlignment="1">
      <alignment horizontal="right" vertical="center"/>
    </xf>
    <xf numFmtId="49" fontId="6" fillId="6" borderId="19" xfId="2" applyNumberFormat="1" applyFont="1" applyFill="1" applyBorder="1" applyAlignment="1">
      <alignment horizontal="center" vertical="center" wrapText="1"/>
    </xf>
    <xf numFmtId="49" fontId="6" fillId="6" borderId="14" xfId="2" applyNumberFormat="1" applyFont="1" applyFill="1" applyBorder="1" applyAlignment="1">
      <alignment horizontal="center" vertical="center" wrapText="1"/>
    </xf>
    <xf numFmtId="3" fontId="35" fillId="0" borderId="24" xfId="3" applyNumberFormat="1" applyFont="1" applyFill="1" applyBorder="1" applyAlignment="1">
      <alignment horizontal="right" vertical="center"/>
    </xf>
    <xf numFmtId="0" fontId="9" fillId="0" borderId="21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49" fontId="9" fillId="6" borderId="14" xfId="2" applyNumberFormat="1" applyFont="1" applyFill="1" applyBorder="1" applyAlignment="1">
      <alignment horizontal="center" vertical="center" wrapText="1"/>
    </xf>
    <xf numFmtId="0" fontId="33" fillId="5" borderId="17" xfId="2" quotePrefix="1" applyFont="1" applyFill="1" applyBorder="1" applyAlignment="1">
      <alignment horizontal="left" vertical="center" wrapText="1"/>
    </xf>
    <xf numFmtId="3" fontId="10" fillId="5" borderId="19" xfId="2" applyNumberFormat="1" applyFont="1" applyFill="1" applyBorder="1" applyAlignment="1">
      <alignment horizontal="right" vertical="center"/>
    </xf>
    <xf numFmtId="3" fontId="10" fillId="5" borderId="20" xfId="2" applyNumberFormat="1" applyFont="1" applyFill="1" applyBorder="1" applyAlignment="1">
      <alignment horizontal="right" vertical="center"/>
    </xf>
    <xf numFmtId="10" fontId="10" fillId="5" borderId="25" xfId="1" applyNumberFormat="1" applyFont="1" applyFill="1" applyBorder="1" applyAlignment="1">
      <alignment horizontal="left" vertical="center"/>
    </xf>
    <xf numFmtId="0" fontId="33" fillId="0" borderId="12" xfId="2" applyFont="1" applyBorder="1" applyAlignment="1">
      <alignment vertical="center" wrapText="1"/>
    </xf>
    <xf numFmtId="0" fontId="6" fillId="6" borderId="34" xfId="2" quotePrefix="1" applyFont="1" applyFill="1" applyBorder="1" applyAlignment="1">
      <alignment horizontal="left" vertical="center" wrapText="1"/>
    </xf>
    <xf numFmtId="3" fontId="6" fillId="6" borderId="19" xfId="2" applyNumberFormat="1" applyFont="1" applyFill="1" applyBorder="1" applyAlignment="1">
      <alignment horizontal="right" vertical="center"/>
    </xf>
    <xf numFmtId="3" fontId="6" fillId="6" borderId="21" xfId="2" applyNumberFormat="1" applyFont="1" applyFill="1" applyBorder="1" applyAlignment="1">
      <alignment horizontal="right" vertical="center"/>
    </xf>
    <xf numFmtId="10" fontId="35" fillId="0" borderId="25" xfId="1" applyNumberFormat="1" applyFont="1" applyFill="1" applyBorder="1" applyAlignment="1">
      <alignment horizontal="left" vertical="center"/>
    </xf>
    <xf numFmtId="0" fontId="33" fillId="0" borderId="6" xfId="2" applyFont="1" applyBorder="1" applyAlignment="1">
      <alignment vertical="center" wrapText="1"/>
    </xf>
    <xf numFmtId="3" fontId="35" fillId="0" borderId="29" xfId="3" applyNumberFormat="1" applyFont="1" applyFill="1" applyBorder="1" applyAlignment="1">
      <alignment horizontal="right" vertical="center"/>
    </xf>
    <xf numFmtId="3" fontId="6" fillId="6" borderId="30" xfId="2" applyNumberFormat="1" applyFont="1" applyFill="1" applyBorder="1" applyAlignment="1">
      <alignment horizontal="right" vertical="center"/>
    </xf>
    <xf numFmtId="3" fontId="6" fillId="6" borderId="29" xfId="2" applyNumberFormat="1" applyFont="1" applyFill="1" applyBorder="1" applyAlignment="1">
      <alignment horizontal="right" vertical="center"/>
    </xf>
    <xf numFmtId="10" fontId="23" fillId="0" borderId="27" xfId="1" applyNumberFormat="1" applyFont="1" applyFill="1" applyBorder="1" applyAlignment="1">
      <alignment horizontal="right" vertical="center"/>
    </xf>
    <xf numFmtId="3" fontId="23" fillId="0" borderId="37" xfId="1" applyNumberFormat="1" applyFont="1" applyFill="1" applyBorder="1" applyAlignment="1">
      <alignment horizontal="right" vertical="center"/>
    </xf>
    <xf numFmtId="10" fontId="24" fillId="0" borderId="27" xfId="1" applyNumberFormat="1" applyFont="1" applyFill="1" applyBorder="1" applyAlignment="1">
      <alignment horizontal="right" vertical="center"/>
    </xf>
    <xf numFmtId="10" fontId="35" fillId="6" borderId="16" xfId="1" applyNumberFormat="1" applyFont="1" applyFill="1" applyBorder="1" applyAlignment="1">
      <alignment horizontal="left" vertical="center"/>
    </xf>
    <xf numFmtId="0" fontId="6" fillId="6" borderId="21" xfId="2" applyFont="1" applyFill="1" applyBorder="1" applyAlignment="1">
      <alignment vertical="center" wrapText="1"/>
    </xf>
    <xf numFmtId="10" fontId="35" fillId="6" borderId="25" xfId="1" applyNumberFormat="1" applyFont="1" applyFill="1" applyBorder="1" applyAlignment="1">
      <alignment horizontal="left" vertical="center"/>
    </xf>
    <xf numFmtId="0" fontId="6" fillId="6" borderId="20" xfId="2" quotePrefix="1" applyFont="1" applyFill="1" applyBorder="1" applyAlignment="1">
      <alignment vertical="center" wrapText="1"/>
    </xf>
    <xf numFmtId="0" fontId="6" fillId="6" borderId="14" xfId="2" applyFont="1" applyFill="1" applyBorder="1" applyAlignment="1">
      <alignment vertical="center" wrapText="1"/>
    </xf>
    <xf numFmtId="0" fontId="6" fillId="6" borderId="14" xfId="2" applyFont="1" applyFill="1" applyBorder="1" applyAlignment="1">
      <alignment horizontal="center" vertical="center" wrapText="1"/>
    </xf>
    <xf numFmtId="3" fontId="6" fillId="6" borderId="14" xfId="2" applyNumberFormat="1" applyFont="1" applyFill="1" applyBorder="1" applyAlignment="1">
      <alignment horizontal="right" vertical="center"/>
    </xf>
    <xf numFmtId="3" fontId="6" fillId="6" borderId="24" xfId="2" applyNumberFormat="1" applyFont="1" applyFill="1" applyBorder="1" applyAlignment="1">
      <alignment horizontal="right" vertical="center"/>
    </xf>
    <xf numFmtId="0" fontId="6" fillId="6" borderId="19" xfId="2" applyFont="1" applyFill="1" applyBorder="1" applyAlignment="1">
      <alignment vertical="center" wrapText="1"/>
    </xf>
    <xf numFmtId="0" fontId="6" fillId="6" borderId="19" xfId="2" applyFont="1" applyFill="1" applyBorder="1" applyAlignment="1">
      <alignment horizontal="center" vertical="center" wrapText="1"/>
    </xf>
    <xf numFmtId="10" fontId="35" fillId="6" borderId="22" xfId="1" applyNumberFormat="1" applyFont="1" applyFill="1" applyBorder="1" applyAlignment="1">
      <alignment horizontal="left" vertical="center"/>
    </xf>
    <xf numFmtId="0" fontId="6" fillId="6" borderId="1" xfId="2" applyFont="1" applyFill="1" applyBorder="1" applyAlignment="1">
      <alignment vertical="center" wrapText="1"/>
    </xf>
    <xf numFmtId="0" fontId="6" fillId="6" borderId="6" xfId="2" applyFont="1" applyFill="1" applyBorder="1" applyAlignment="1">
      <alignment horizontal="center" vertical="center" wrapText="1"/>
    </xf>
    <xf numFmtId="10" fontId="35" fillId="6" borderId="33" xfId="1" applyNumberFormat="1" applyFont="1" applyFill="1" applyBorder="1" applyAlignment="1">
      <alignment horizontal="left" vertical="center"/>
    </xf>
    <xf numFmtId="0" fontId="28" fillId="4" borderId="1" xfId="2" applyFont="1" applyFill="1" applyBorder="1" applyAlignment="1">
      <alignment horizontal="center" vertical="center" wrapText="1"/>
    </xf>
    <xf numFmtId="0" fontId="28" fillId="4" borderId="7" xfId="2" applyFont="1" applyFill="1" applyBorder="1" applyAlignment="1">
      <alignment horizontal="left" vertical="center" wrapText="1"/>
    </xf>
    <xf numFmtId="0" fontId="27" fillId="4" borderId="6" xfId="2" quotePrefix="1" applyFont="1" applyFill="1" applyBorder="1" applyAlignment="1">
      <alignment horizontal="center" vertical="center" wrapText="1"/>
    </xf>
    <xf numFmtId="3" fontId="18" fillId="4" borderId="12" xfId="3" applyNumberFormat="1" applyFont="1" applyFill="1" applyBorder="1" applyAlignment="1">
      <alignment horizontal="right" vertical="center"/>
    </xf>
    <xf numFmtId="3" fontId="27" fillId="0" borderId="14" xfId="2" applyNumberFormat="1" applyFont="1" applyBorder="1" applyAlignment="1">
      <alignment horizontal="right" vertical="center"/>
    </xf>
    <xf numFmtId="3" fontId="27" fillId="0" borderId="15" xfId="2" applyNumberFormat="1" applyFont="1" applyBorder="1" applyAlignment="1">
      <alignment horizontal="right" vertical="center"/>
    </xf>
    <xf numFmtId="0" fontId="27" fillId="5" borderId="3" xfId="2" quotePrefix="1" applyFont="1" applyFill="1" applyBorder="1" applyAlignment="1">
      <alignment horizontal="center" vertical="center" wrapText="1"/>
    </xf>
    <xf numFmtId="3" fontId="25" fillId="5" borderId="12" xfId="3" applyNumberFormat="1" applyFont="1" applyFill="1" applyBorder="1" applyAlignment="1">
      <alignment horizontal="right" vertical="center"/>
    </xf>
    <xf numFmtId="0" fontId="26" fillId="6" borderId="25" xfId="2" applyFont="1" applyFill="1" applyBorder="1" applyAlignment="1">
      <alignment vertical="center" wrapText="1"/>
    </xf>
    <xf numFmtId="0" fontId="27" fillId="5" borderId="17" xfId="2" quotePrefix="1" applyFont="1" applyFill="1" applyBorder="1" applyAlignment="1">
      <alignment horizontal="center" vertical="center" wrapText="1"/>
    </xf>
    <xf numFmtId="3" fontId="22" fillId="5" borderId="12" xfId="3" applyNumberFormat="1" applyFont="1" applyFill="1" applyBorder="1" applyAlignment="1">
      <alignment horizontal="right" vertical="center"/>
    </xf>
    <xf numFmtId="3" fontId="27" fillId="0" borderId="17" xfId="2" applyNumberFormat="1" applyFont="1" applyBorder="1" applyAlignment="1">
      <alignment horizontal="right" vertical="center"/>
    </xf>
    <xf numFmtId="3" fontId="27" fillId="0" borderId="34" xfId="2" applyNumberFormat="1" applyFont="1" applyBorder="1" applyAlignment="1">
      <alignment horizontal="right" vertical="center"/>
    </xf>
    <xf numFmtId="0" fontId="19" fillId="4" borderId="11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left" vertical="center" wrapText="1"/>
    </xf>
    <xf numFmtId="0" fontId="23" fillId="4" borderId="2" xfId="2" quotePrefix="1" applyFont="1" applyFill="1" applyBorder="1" applyAlignment="1">
      <alignment horizontal="center" vertical="center" wrapText="1"/>
    </xf>
    <xf numFmtId="0" fontId="23" fillId="5" borderId="3" xfId="2" quotePrefix="1" applyFont="1" applyFill="1" applyBorder="1" applyAlignment="1">
      <alignment horizontal="center" vertical="center" wrapText="1"/>
    </xf>
    <xf numFmtId="0" fontId="23" fillId="0" borderId="20" xfId="2" applyFont="1" applyBorder="1" applyAlignment="1">
      <alignment horizontal="left" vertical="center" wrapText="1"/>
    </xf>
    <xf numFmtId="3" fontId="6" fillId="0" borderId="20" xfId="2" applyNumberFormat="1" applyFont="1" applyBorder="1" applyAlignment="1">
      <alignment horizontal="right" vertical="center"/>
    </xf>
    <xf numFmtId="0" fontId="27" fillId="0" borderId="6" xfId="2" applyFont="1" applyBorder="1" applyAlignment="1">
      <alignment vertical="center" wrapText="1"/>
    </xf>
    <xf numFmtId="0" fontId="23" fillId="5" borderId="30" xfId="2" quotePrefix="1" applyFont="1" applyFill="1" applyBorder="1" applyAlignment="1">
      <alignment horizontal="center" vertical="center" wrapText="1"/>
    </xf>
    <xf numFmtId="3" fontId="23" fillId="5" borderId="33" xfId="1" applyNumberFormat="1" applyFont="1" applyFill="1" applyBorder="1" applyAlignment="1">
      <alignment horizontal="right" vertical="center"/>
    </xf>
    <xf numFmtId="10" fontId="21" fillId="5" borderId="30" xfId="1" applyNumberFormat="1" applyFont="1" applyFill="1" applyBorder="1" applyAlignment="1">
      <alignment horizontal="right" vertical="center"/>
    </xf>
    <xf numFmtId="10" fontId="12" fillId="4" borderId="2" xfId="1" applyNumberFormat="1" applyFont="1" applyFill="1" applyBorder="1" applyAlignment="1">
      <alignment horizontal="right" vertical="center"/>
    </xf>
    <xf numFmtId="0" fontId="23" fillId="5" borderId="27" xfId="2" quotePrefix="1" applyFont="1" applyFill="1" applyBorder="1" applyAlignment="1">
      <alignment horizontal="center" vertical="center" wrapText="1"/>
    </xf>
    <xf numFmtId="3" fontId="24" fillId="5" borderId="27" xfId="2" applyNumberFormat="1" applyFont="1" applyFill="1" applyBorder="1" applyAlignment="1">
      <alignment horizontal="right" vertical="center"/>
    </xf>
    <xf numFmtId="3" fontId="24" fillId="5" borderId="26" xfId="2" applyNumberFormat="1" applyFont="1" applyFill="1" applyBorder="1" applyAlignment="1">
      <alignment horizontal="right" vertical="center"/>
    </xf>
    <xf numFmtId="10" fontId="20" fillId="5" borderId="14" xfId="1" applyNumberFormat="1" applyFont="1" applyFill="1" applyBorder="1" applyAlignment="1">
      <alignment horizontal="right" vertical="center"/>
    </xf>
    <xf numFmtId="0" fontId="26" fillId="0" borderId="12" xfId="2" applyFont="1" applyBorder="1" applyAlignment="1">
      <alignment horizontal="center" vertical="center" wrapText="1"/>
    </xf>
    <xf numFmtId="0" fontId="27" fillId="0" borderId="24" xfId="2" applyFont="1" applyBorder="1" applyAlignment="1">
      <alignment horizontal="left" vertical="center" wrapText="1"/>
    </xf>
    <xf numFmtId="49" fontId="27" fillId="0" borderId="14" xfId="2" quotePrefix="1" applyNumberFormat="1" applyFont="1" applyBorder="1" applyAlignment="1">
      <alignment horizontal="center" vertical="center" wrapText="1"/>
    </xf>
    <xf numFmtId="0" fontId="27" fillId="0" borderId="21" xfId="2" applyFont="1" applyBorder="1" applyAlignment="1">
      <alignment horizontal="left" vertical="center" wrapText="1"/>
    </xf>
    <xf numFmtId="49" fontId="27" fillId="0" borderId="19" xfId="2" quotePrefix="1" applyNumberFormat="1" applyFont="1" applyBorder="1" applyAlignment="1">
      <alignment horizontal="center" vertical="center" wrapText="1"/>
    </xf>
    <xf numFmtId="0" fontId="27" fillId="6" borderId="12" xfId="2" quotePrefix="1" applyFont="1" applyFill="1" applyBorder="1" applyAlignment="1">
      <alignment horizontal="center" vertical="center" wrapText="1"/>
    </xf>
    <xf numFmtId="3" fontId="36" fillId="0" borderId="12" xfId="3" applyNumberFormat="1" applyFont="1" applyBorder="1"/>
    <xf numFmtId="10" fontId="20" fillId="5" borderId="17" xfId="1" applyNumberFormat="1" applyFont="1" applyFill="1" applyBorder="1" applyAlignment="1">
      <alignment horizontal="right" vertical="center"/>
    </xf>
    <xf numFmtId="3" fontId="20" fillId="5" borderId="22" xfId="1" applyNumberFormat="1" applyFont="1" applyFill="1" applyBorder="1" applyAlignment="1">
      <alignment horizontal="right" vertical="center"/>
    </xf>
    <xf numFmtId="0" fontId="19" fillId="4" borderId="1" xfId="2" applyFont="1" applyFill="1" applyBorder="1" applyAlignment="1">
      <alignment horizontal="center" vertical="center" wrapText="1"/>
    </xf>
    <xf numFmtId="0" fontId="19" fillId="4" borderId="7" xfId="2" applyFont="1" applyFill="1" applyBorder="1" applyAlignment="1">
      <alignment horizontal="left" vertical="center" wrapText="1"/>
    </xf>
    <xf numFmtId="0" fontId="23" fillId="4" borderId="6" xfId="2" quotePrefix="1" applyFont="1" applyFill="1" applyBorder="1" applyAlignment="1">
      <alignment horizontal="center" vertical="center" wrapText="1"/>
    </xf>
    <xf numFmtId="10" fontId="21" fillId="5" borderId="22" xfId="1" applyNumberFormat="1" applyFont="1" applyFill="1" applyBorder="1" applyAlignment="1">
      <alignment horizontal="left" vertical="center"/>
    </xf>
    <xf numFmtId="10" fontId="12" fillId="3" borderId="2" xfId="1" applyNumberFormat="1" applyFont="1" applyFill="1" applyBorder="1" applyAlignment="1">
      <alignment horizontal="right" vertical="center"/>
    </xf>
    <xf numFmtId="0" fontId="12" fillId="0" borderId="3" xfId="2" applyFont="1" applyBorder="1" applyAlignment="1">
      <alignment vertical="center" wrapText="1"/>
    </xf>
    <xf numFmtId="0" fontId="12" fillId="0" borderId="12" xfId="2" applyFont="1" applyBorder="1" applyAlignment="1">
      <alignment vertical="center" wrapText="1"/>
    </xf>
    <xf numFmtId="3" fontId="23" fillId="6" borderId="19" xfId="2" applyNumberFormat="1" applyFont="1" applyFill="1" applyBorder="1" applyAlignment="1">
      <alignment horizontal="right" vertical="center"/>
    </xf>
    <xf numFmtId="3" fontId="23" fillId="6" borderId="20" xfId="2" applyNumberFormat="1" applyFont="1" applyFill="1" applyBorder="1" applyAlignment="1">
      <alignment horizontal="right" vertical="center"/>
    </xf>
    <xf numFmtId="0" fontId="3" fillId="6" borderId="0" xfId="2" applyFill="1"/>
    <xf numFmtId="0" fontId="23" fillId="6" borderId="34" xfId="2" applyFont="1" applyFill="1" applyBorder="1" applyAlignment="1">
      <alignment vertical="center" wrapText="1"/>
    </xf>
    <xf numFmtId="3" fontId="23" fillId="0" borderId="17" xfId="2" applyNumberFormat="1" applyFont="1" applyBorder="1" applyAlignment="1">
      <alignment horizontal="right" vertical="center"/>
    </xf>
    <xf numFmtId="0" fontId="26" fillId="6" borderId="17" xfId="2" applyFont="1" applyFill="1" applyBorder="1" applyAlignment="1">
      <alignment vertical="center" wrapText="1"/>
    </xf>
    <xf numFmtId="10" fontId="25" fillId="0" borderId="33" xfId="1" applyNumberFormat="1" applyFont="1" applyFill="1" applyBorder="1" applyAlignment="1">
      <alignment horizontal="left" vertical="center"/>
    </xf>
    <xf numFmtId="0" fontId="12" fillId="0" borderId="6" xfId="2" applyFont="1" applyBorder="1" applyAlignment="1">
      <alignment vertical="center" wrapText="1"/>
    </xf>
    <xf numFmtId="0" fontId="26" fillId="6" borderId="6" xfId="2" applyFont="1" applyFill="1" applyBorder="1" applyAlignment="1">
      <alignment vertical="center" wrapText="1"/>
    </xf>
    <xf numFmtId="0" fontId="23" fillId="0" borderId="7" xfId="2" applyFont="1" applyBorder="1" applyAlignment="1">
      <alignment horizontal="left" vertical="center" wrapText="1"/>
    </xf>
    <xf numFmtId="49" fontId="23" fillId="6" borderId="6" xfId="2" applyNumberFormat="1" applyFont="1" applyFill="1" applyBorder="1" applyAlignment="1">
      <alignment horizontal="center" vertical="center" wrapText="1"/>
    </xf>
    <xf numFmtId="3" fontId="23" fillId="0" borderId="6" xfId="2" applyNumberFormat="1" applyFont="1" applyBorder="1" applyAlignment="1">
      <alignment horizontal="right" vertical="center"/>
    </xf>
    <xf numFmtId="3" fontId="23" fillId="0" borderId="7" xfId="2" applyNumberFormat="1" applyFont="1" applyBorder="1" applyAlignment="1">
      <alignment horizontal="right" vertical="center"/>
    </xf>
    <xf numFmtId="10" fontId="23" fillId="0" borderId="6" xfId="1" applyNumberFormat="1" applyFont="1" applyFill="1" applyBorder="1" applyAlignment="1">
      <alignment horizontal="right" vertical="center"/>
    </xf>
    <xf numFmtId="3" fontId="23" fillId="0" borderId="8" xfId="1" applyNumberFormat="1" applyFont="1" applyFill="1" applyBorder="1" applyAlignment="1">
      <alignment horizontal="right" vertical="center"/>
    </xf>
    <xf numFmtId="10" fontId="24" fillId="0" borderId="6" xfId="1" applyNumberFormat="1" applyFont="1" applyFill="1" applyBorder="1" applyAlignment="1">
      <alignment horizontal="right" vertical="center"/>
    </xf>
    <xf numFmtId="10" fontId="24" fillId="0" borderId="9" xfId="1" applyNumberFormat="1" applyFont="1" applyFill="1" applyBorder="1" applyAlignment="1">
      <alignment horizontal="left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29" fillId="0" borderId="3" xfId="2" applyFont="1" applyBorder="1" applyAlignment="1">
      <alignment vertical="center" wrapText="1"/>
    </xf>
    <xf numFmtId="0" fontId="19" fillId="4" borderId="2" xfId="2" applyFont="1" applyFill="1" applyBorder="1" applyAlignment="1">
      <alignment horizontal="center" vertical="center" wrapText="1"/>
    </xf>
    <xf numFmtId="0" fontId="29" fillId="0" borderId="12" xfId="2" applyFont="1" applyBorder="1" applyAlignment="1">
      <alignment vertical="center" wrapText="1"/>
    </xf>
    <xf numFmtId="10" fontId="24" fillId="5" borderId="14" xfId="1" applyNumberFormat="1" applyFont="1" applyFill="1" applyBorder="1" applyAlignment="1">
      <alignment horizontal="right" vertical="center"/>
    </xf>
    <xf numFmtId="0" fontId="29" fillId="0" borderId="6" xfId="2" applyFont="1" applyBorder="1" applyAlignment="1">
      <alignment vertical="center" wrapText="1"/>
    </xf>
    <xf numFmtId="3" fontId="21" fillId="5" borderId="31" xfId="2" applyNumberFormat="1" applyFont="1" applyFill="1" applyBorder="1" applyAlignment="1">
      <alignment horizontal="right" vertical="center"/>
    </xf>
    <xf numFmtId="10" fontId="20" fillId="5" borderId="30" xfId="1" applyNumberFormat="1" applyFont="1" applyFill="1" applyBorder="1" applyAlignment="1">
      <alignment horizontal="right" vertical="center"/>
    </xf>
    <xf numFmtId="10" fontId="24" fillId="5" borderId="30" xfId="1" applyNumberFormat="1" applyFont="1" applyFill="1" applyBorder="1" applyAlignment="1">
      <alignment horizontal="right" vertical="center"/>
    </xf>
    <xf numFmtId="0" fontId="20" fillId="0" borderId="19" xfId="2" applyFont="1" applyBorder="1" applyAlignment="1">
      <alignment horizontal="center" vertical="center" wrapText="1"/>
    </xf>
    <xf numFmtId="3" fontId="39" fillId="5" borderId="12" xfId="3" applyNumberFormat="1" applyFont="1" applyFill="1" applyBorder="1"/>
    <xf numFmtId="0" fontId="19" fillId="4" borderId="10" xfId="2" applyFont="1" applyFill="1" applyBorder="1" applyAlignment="1">
      <alignment horizontal="center" vertical="center" wrapText="1"/>
    </xf>
    <xf numFmtId="0" fontId="19" fillId="0" borderId="17" xfId="2" applyFont="1" applyBorder="1" applyAlignment="1">
      <alignment vertical="center" wrapText="1"/>
    </xf>
    <xf numFmtId="0" fontId="19" fillId="0" borderId="12" xfId="2" applyFont="1" applyBorder="1" applyAlignment="1">
      <alignment vertical="center" wrapText="1"/>
    </xf>
    <xf numFmtId="3" fontId="23" fillId="0" borderId="12" xfId="2" applyNumberFormat="1" applyFont="1" applyBorder="1" applyAlignment="1">
      <alignment horizontal="right" vertical="center"/>
    </xf>
    <xf numFmtId="3" fontId="23" fillId="0" borderId="28" xfId="2" applyNumberFormat="1" applyFont="1" applyBorder="1" applyAlignment="1">
      <alignment horizontal="right" vertical="center"/>
    </xf>
    <xf numFmtId="10" fontId="23" fillId="0" borderId="12" xfId="1" applyNumberFormat="1" applyFont="1" applyFill="1" applyBorder="1" applyAlignment="1">
      <alignment horizontal="right" vertical="center"/>
    </xf>
    <xf numFmtId="3" fontId="23" fillId="0" borderId="23" xfId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right" vertical="center"/>
    </xf>
    <xf numFmtId="10" fontId="25" fillId="0" borderId="23" xfId="1" applyNumberFormat="1" applyFont="1" applyFill="1" applyBorder="1" applyAlignment="1">
      <alignment horizontal="left" vertical="center"/>
    </xf>
    <xf numFmtId="0" fontId="17" fillId="0" borderId="0" xfId="2" applyFont="1"/>
    <xf numFmtId="0" fontId="19" fillId="0" borderId="14" xfId="2" applyFont="1" applyBorder="1" applyAlignment="1">
      <alignment vertical="center" wrapText="1"/>
    </xf>
    <xf numFmtId="0" fontId="23" fillId="0" borderId="18" xfId="2" applyFont="1" applyBorder="1" applyAlignment="1">
      <alignment vertical="center" wrapText="1"/>
    </xf>
    <xf numFmtId="49" fontId="20" fillId="5" borderId="30" xfId="2" applyNumberFormat="1" applyFont="1" applyFill="1" applyBorder="1" applyAlignment="1">
      <alignment vertical="center" wrapText="1"/>
    </xf>
    <xf numFmtId="10" fontId="18" fillId="5" borderId="33" xfId="1" applyNumberFormat="1" applyFont="1" applyFill="1" applyBorder="1" applyAlignment="1">
      <alignment horizontal="left" vertical="center"/>
    </xf>
    <xf numFmtId="0" fontId="40" fillId="4" borderId="6" xfId="2" applyFont="1" applyFill="1" applyBorder="1" applyAlignment="1">
      <alignment horizontal="center" vertical="center" wrapText="1"/>
    </xf>
    <xf numFmtId="0" fontId="28" fillId="4" borderId="7" xfId="2" applyFont="1" applyFill="1" applyBorder="1" applyAlignment="1">
      <alignment vertical="center" wrapText="1"/>
    </xf>
    <xf numFmtId="0" fontId="28" fillId="4" borderId="6" xfId="2" applyFont="1" applyFill="1" applyBorder="1" applyAlignment="1">
      <alignment vertical="center" wrapText="1"/>
    </xf>
    <xf numFmtId="3" fontId="18" fillId="4" borderId="6" xfId="2" applyNumberFormat="1" applyFont="1" applyFill="1" applyBorder="1" applyAlignment="1">
      <alignment horizontal="right" vertical="center"/>
    </xf>
    <xf numFmtId="10" fontId="23" fillId="0" borderId="14" xfId="1" applyNumberFormat="1" applyFont="1" applyFill="1" applyBorder="1" applyAlignment="1">
      <alignment horizontal="right" vertical="center"/>
    </xf>
    <xf numFmtId="0" fontId="26" fillId="5" borderId="14" xfId="2" quotePrefix="1" applyFont="1" applyFill="1" applyBorder="1" applyAlignment="1">
      <alignment horizontal="left" vertical="center" wrapText="1"/>
    </xf>
    <xf numFmtId="3" fontId="22" fillId="5" borderId="3" xfId="2" applyNumberFormat="1" applyFont="1" applyFill="1" applyBorder="1" applyAlignment="1">
      <alignment horizontal="right" vertical="center"/>
    </xf>
    <xf numFmtId="0" fontId="40" fillId="0" borderId="23" xfId="2" applyFont="1" applyBorder="1" applyAlignment="1">
      <alignment horizontal="center" vertical="center" wrapText="1"/>
    </xf>
    <xf numFmtId="0" fontId="29" fillId="6" borderId="12" xfId="2" applyFont="1" applyFill="1" applyBorder="1" applyAlignment="1">
      <alignment horizontal="center" vertical="center" wrapText="1"/>
    </xf>
    <xf numFmtId="3" fontId="25" fillId="0" borderId="19" xfId="2" applyNumberFormat="1" applyFont="1" applyBorder="1" applyAlignment="1">
      <alignment horizontal="right" vertical="center"/>
    </xf>
    <xf numFmtId="0" fontId="26" fillId="5" borderId="19" xfId="2" quotePrefix="1" applyFont="1" applyFill="1" applyBorder="1" applyAlignment="1">
      <alignment horizontal="center" vertical="center" wrapText="1"/>
    </xf>
    <xf numFmtId="3" fontId="22" fillId="5" borderId="17" xfId="2" applyNumberFormat="1" applyFont="1" applyFill="1" applyBorder="1" applyAlignment="1">
      <alignment horizontal="right" vertical="center"/>
    </xf>
    <xf numFmtId="10" fontId="23" fillId="0" borderId="17" xfId="1" applyNumberFormat="1" applyFont="1" applyFill="1" applyBorder="1" applyAlignment="1">
      <alignment horizontal="right" vertical="center"/>
    </xf>
    <xf numFmtId="0" fontId="12" fillId="3" borderId="11" xfId="2" applyFont="1" applyFill="1" applyBorder="1" applyAlignment="1">
      <alignment vertical="center" wrapText="1"/>
    </xf>
    <xf numFmtId="0" fontId="12" fillId="3" borderId="2" xfId="2" applyFont="1" applyFill="1" applyBorder="1" applyAlignment="1">
      <alignment horizontal="left" vertical="center" wrapText="1"/>
    </xf>
    <xf numFmtId="10" fontId="17" fillId="3" borderId="9" xfId="1" applyNumberFormat="1" applyFont="1" applyFill="1" applyBorder="1" applyAlignment="1">
      <alignment horizontal="left" vertical="center"/>
    </xf>
    <xf numFmtId="0" fontId="20" fillId="0" borderId="14" xfId="2" applyFont="1" applyBorder="1" applyAlignment="1">
      <alignment horizontal="center" vertical="center" wrapText="1"/>
    </xf>
    <xf numFmtId="49" fontId="20" fillId="5" borderId="30" xfId="2" quotePrefix="1" applyNumberFormat="1" applyFont="1" applyFill="1" applyBorder="1" applyAlignment="1">
      <alignment horizontal="center" vertical="center" wrapText="1"/>
    </xf>
    <xf numFmtId="0" fontId="29" fillId="6" borderId="6" xfId="2" applyFont="1" applyFill="1" applyBorder="1" applyAlignment="1">
      <alignment horizontal="center" vertical="center" wrapText="1"/>
    </xf>
    <xf numFmtId="0" fontId="26" fillId="6" borderId="6" xfId="2" applyFont="1" applyFill="1" applyBorder="1" applyAlignment="1">
      <alignment horizontal="center" vertical="center" wrapText="1"/>
    </xf>
    <xf numFmtId="0" fontId="27" fillId="6" borderId="1" xfId="2" quotePrefix="1" applyFont="1" applyFill="1" applyBorder="1" applyAlignment="1">
      <alignment horizontal="left" vertical="center" wrapText="1"/>
    </xf>
    <xf numFmtId="49" fontId="27" fillId="6" borderId="6" xfId="2" quotePrefix="1" applyNumberFormat="1" applyFont="1" applyFill="1" applyBorder="1" applyAlignment="1">
      <alignment horizontal="center" vertical="center" wrapText="1"/>
    </xf>
    <xf numFmtId="3" fontId="25" fillId="6" borderId="6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vertical="center" wrapText="1"/>
    </xf>
    <xf numFmtId="0" fontId="19" fillId="4" borderId="11" xfId="2" applyFont="1" applyFill="1" applyBorder="1" applyAlignment="1">
      <alignment vertical="center" wrapText="1"/>
    </xf>
    <xf numFmtId="0" fontId="12" fillId="6" borderId="12" xfId="2" applyFont="1" applyFill="1" applyBorder="1" applyAlignment="1">
      <alignment vertical="center" wrapText="1"/>
    </xf>
    <xf numFmtId="0" fontId="41" fillId="6" borderId="12" xfId="2" applyFont="1" applyFill="1" applyBorder="1" applyAlignment="1">
      <alignment vertical="center" wrapText="1"/>
    </xf>
    <xf numFmtId="0" fontId="23" fillId="6" borderId="24" xfId="2" applyFont="1" applyFill="1" applyBorder="1" applyAlignment="1">
      <alignment vertical="center" wrapText="1"/>
    </xf>
    <xf numFmtId="3" fontId="24" fillId="6" borderId="19" xfId="2" applyNumberFormat="1" applyFont="1" applyFill="1" applyBorder="1" applyAlignment="1">
      <alignment horizontal="right" vertical="center"/>
    </xf>
    <xf numFmtId="3" fontId="24" fillId="6" borderId="20" xfId="2" applyNumberFormat="1" applyFont="1" applyFill="1" applyBorder="1" applyAlignment="1">
      <alignment horizontal="right" vertical="center"/>
    </xf>
    <xf numFmtId="0" fontId="12" fillId="6" borderId="6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vertical="center" wrapText="1"/>
    </xf>
    <xf numFmtId="3" fontId="17" fillId="4" borderId="12" xfId="2" applyNumberFormat="1" applyFont="1" applyFill="1" applyBorder="1" applyAlignment="1">
      <alignment horizontal="right" vertical="center"/>
    </xf>
    <xf numFmtId="3" fontId="17" fillId="4" borderId="28" xfId="2" applyNumberFormat="1" applyFont="1" applyFill="1" applyBorder="1" applyAlignment="1">
      <alignment horizontal="right" vertical="center"/>
    </xf>
    <xf numFmtId="10" fontId="17" fillId="0" borderId="16" xfId="1" applyNumberFormat="1" applyFont="1" applyFill="1" applyBorder="1" applyAlignment="1">
      <alignment horizontal="left" vertical="center"/>
    </xf>
    <xf numFmtId="3" fontId="21" fillId="5" borderId="12" xfId="2" applyNumberFormat="1" applyFont="1" applyFill="1" applyBorder="1" applyAlignment="1">
      <alignment horizontal="right" vertical="center"/>
    </xf>
    <xf numFmtId="3" fontId="21" fillId="5" borderId="28" xfId="2" applyNumberFormat="1" applyFont="1" applyFill="1" applyBorder="1" applyAlignment="1">
      <alignment horizontal="right" vertical="center"/>
    </xf>
    <xf numFmtId="10" fontId="17" fillId="0" borderId="22" xfId="1" applyNumberFormat="1" applyFont="1" applyFill="1" applyBorder="1" applyAlignment="1">
      <alignment horizontal="left" vertical="center"/>
    </xf>
    <xf numFmtId="0" fontId="23" fillId="6" borderId="13" xfId="2" applyFont="1" applyFill="1" applyBorder="1" applyAlignment="1">
      <alignment vertical="center" wrapText="1"/>
    </xf>
    <xf numFmtId="49" fontId="23" fillId="6" borderId="27" xfId="2" applyNumberFormat="1" applyFont="1" applyFill="1" applyBorder="1" applyAlignment="1">
      <alignment horizontal="center" vertical="center" wrapText="1"/>
    </xf>
    <xf numFmtId="3" fontId="24" fillId="6" borderId="27" xfId="2" applyNumberFormat="1" applyFont="1" applyFill="1" applyBorder="1" applyAlignment="1">
      <alignment horizontal="right" vertical="center"/>
    </xf>
    <xf numFmtId="3" fontId="23" fillId="0" borderId="27" xfId="2" applyNumberFormat="1" applyFont="1" applyBorder="1" applyAlignment="1">
      <alignment horizontal="right" vertical="center"/>
    </xf>
    <xf numFmtId="3" fontId="23" fillId="0" borderId="26" xfId="2" applyNumberFormat="1" applyFont="1" applyBorder="1" applyAlignment="1">
      <alignment horizontal="right" vertical="center"/>
    </xf>
    <xf numFmtId="3" fontId="24" fillId="6" borderId="26" xfId="2" applyNumberFormat="1" applyFont="1" applyFill="1" applyBorder="1" applyAlignment="1">
      <alignment horizontal="right" vertical="center"/>
    </xf>
    <xf numFmtId="10" fontId="17" fillId="0" borderId="37" xfId="1" applyNumberFormat="1" applyFont="1" applyFill="1" applyBorder="1" applyAlignment="1">
      <alignment horizontal="left" vertical="center"/>
    </xf>
    <xf numFmtId="10" fontId="23" fillId="5" borderId="17" xfId="1" applyNumberFormat="1" applyFont="1" applyFill="1" applyBorder="1" applyAlignment="1">
      <alignment horizontal="right" vertical="center"/>
    </xf>
    <xf numFmtId="3" fontId="23" fillId="5" borderId="18" xfId="1" applyNumberFormat="1" applyFont="1" applyFill="1" applyBorder="1" applyAlignment="1">
      <alignment horizontal="right" vertical="center"/>
    </xf>
    <xf numFmtId="0" fontId="37" fillId="0" borderId="3" xfId="2" applyFont="1" applyBorder="1" applyAlignment="1">
      <alignment vertical="center" wrapText="1"/>
    </xf>
    <xf numFmtId="0" fontId="31" fillId="4" borderId="11" xfId="2" applyFont="1" applyFill="1" applyBorder="1" applyAlignment="1">
      <alignment vertical="center" wrapText="1"/>
    </xf>
    <xf numFmtId="0" fontId="37" fillId="0" borderId="12" xfId="2" applyFont="1" applyBorder="1" applyAlignment="1">
      <alignment vertical="center" wrapText="1"/>
    </xf>
    <xf numFmtId="0" fontId="33" fillId="5" borderId="14" xfId="2" quotePrefix="1" applyFont="1" applyFill="1" applyBorder="1" applyAlignment="1">
      <alignment horizontal="left" vertical="center" wrapText="1"/>
    </xf>
    <xf numFmtId="3" fontId="10" fillId="5" borderId="3" xfId="2" applyNumberFormat="1" applyFont="1" applyFill="1" applyBorder="1" applyAlignment="1">
      <alignment horizontal="right" vertical="center"/>
    </xf>
    <xf numFmtId="3" fontId="10" fillId="5" borderId="4" xfId="2" applyNumberFormat="1" applyFont="1" applyFill="1" applyBorder="1" applyAlignment="1">
      <alignment horizontal="right" vertical="center"/>
    </xf>
    <xf numFmtId="0" fontId="28" fillId="0" borderId="17" xfId="2" applyFont="1" applyBorder="1" applyAlignment="1">
      <alignment vertical="center" wrapText="1"/>
    </xf>
    <xf numFmtId="0" fontId="6" fillId="0" borderId="20" xfId="2" applyFont="1" applyBorder="1" applyAlignment="1">
      <alignment vertical="center" wrapText="1"/>
    </xf>
    <xf numFmtId="3" fontId="35" fillId="0" borderId="19" xfId="3" applyNumberFormat="1" applyFont="1" applyFill="1" applyBorder="1" applyAlignment="1">
      <alignment horizontal="right" vertical="center"/>
    </xf>
    <xf numFmtId="0" fontId="28" fillId="0" borderId="14" xfId="2" applyFont="1" applyBorder="1" applyAlignment="1">
      <alignment vertical="center" wrapText="1"/>
    </xf>
    <xf numFmtId="10" fontId="42" fillId="0" borderId="25" xfId="1" applyNumberFormat="1" applyFont="1" applyFill="1" applyBorder="1" applyAlignment="1">
      <alignment horizontal="left" vertical="center"/>
    </xf>
    <xf numFmtId="0" fontId="33" fillId="5" borderId="30" xfId="2" quotePrefix="1" applyFont="1" applyFill="1" applyBorder="1" applyAlignment="1">
      <alignment horizontal="left" vertical="center" wrapText="1"/>
    </xf>
    <xf numFmtId="3" fontId="10" fillId="5" borderId="30" xfId="2" applyNumberFormat="1" applyFont="1" applyFill="1" applyBorder="1" applyAlignment="1">
      <alignment horizontal="right" vertical="center"/>
    </xf>
    <xf numFmtId="3" fontId="33" fillId="5" borderId="34" xfId="2" applyNumberFormat="1" applyFont="1" applyFill="1" applyBorder="1" applyAlignment="1">
      <alignment horizontal="right" vertical="center"/>
    </xf>
    <xf numFmtId="10" fontId="10" fillId="5" borderId="22" xfId="1" applyNumberFormat="1" applyFont="1" applyFill="1" applyBorder="1" applyAlignment="1">
      <alignment horizontal="left" vertical="center"/>
    </xf>
    <xf numFmtId="0" fontId="33" fillId="5" borderId="3" xfId="2" quotePrefix="1" applyFont="1" applyFill="1" applyBorder="1" applyAlignment="1">
      <alignment horizontal="left" vertical="center" wrapText="1"/>
    </xf>
    <xf numFmtId="10" fontId="10" fillId="5" borderId="23" xfId="1" applyNumberFormat="1" applyFont="1" applyFill="1" applyBorder="1" applyAlignment="1">
      <alignment horizontal="left" vertical="center"/>
    </xf>
    <xf numFmtId="49" fontId="6" fillId="0" borderId="27" xfId="2" quotePrefix="1" applyNumberFormat="1" applyFont="1" applyBorder="1" applyAlignment="1">
      <alignment horizontal="center" vertical="center" wrapText="1"/>
    </xf>
    <xf numFmtId="3" fontId="35" fillId="0" borderId="27" xfId="3" applyNumberFormat="1" applyFont="1" applyFill="1" applyBorder="1" applyAlignment="1">
      <alignment horizontal="right" vertical="center"/>
    </xf>
    <xf numFmtId="3" fontId="6" fillId="0" borderId="27" xfId="2" applyNumberFormat="1" applyFont="1" applyBorder="1" applyAlignment="1">
      <alignment horizontal="right" vertical="center"/>
    </xf>
    <xf numFmtId="3" fontId="6" fillId="0" borderId="26" xfId="2" applyNumberFormat="1" applyFont="1" applyBorder="1" applyAlignment="1">
      <alignment horizontal="right" vertical="center"/>
    </xf>
    <xf numFmtId="10" fontId="18" fillId="0" borderId="37" xfId="1" applyNumberFormat="1" applyFont="1" applyFill="1" applyBorder="1" applyAlignment="1">
      <alignment horizontal="left" vertical="center"/>
    </xf>
    <xf numFmtId="49" fontId="6" fillId="6" borderId="14" xfId="2" quotePrefix="1" applyNumberFormat="1" applyFont="1" applyFill="1" applyBorder="1" applyAlignment="1">
      <alignment horizontal="center" vertical="center" wrapText="1"/>
    </xf>
    <xf numFmtId="49" fontId="6" fillId="6" borderId="12" xfId="2" applyNumberFormat="1" applyFont="1" applyFill="1" applyBorder="1" applyAlignment="1">
      <alignment horizontal="center" vertical="center" wrapText="1"/>
    </xf>
    <xf numFmtId="3" fontId="35" fillId="0" borderId="17" xfId="3" applyNumberFormat="1" applyFont="1" applyFill="1" applyBorder="1" applyAlignment="1">
      <alignment horizontal="right" vertical="center"/>
    </xf>
    <xf numFmtId="3" fontId="6" fillId="0" borderId="17" xfId="2" applyNumberFormat="1" applyFont="1" applyBorder="1" applyAlignment="1">
      <alignment horizontal="right" vertical="center"/>
    </xf>
    <xf numFmtId="3" fontId="6" fillId="0" borderId="34" xfId="2" applyNumberFormat="1" applyFont="1" applyBorder="1" applyAlignment="1">
      <alignment horizontal="right" vertical="center"/>
    </xf>
    <xf numFmtId="3" fontId="35" fillId="0" borderId="14" xfId="3" applyNumberFormat="1" applyFont="1" applyFill="1" applyBorder="1" applyAlignment="1">
      <alignment horizontal="right" vertical="center"/>
    </xf>
    <xf numFmtId="3" fontId="6" fillId="0" borderId="14" xfId="2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horizontal="right" vertical="center"/>
    </xf>
    <xf numFmtId="0" fontId="26" fillId="6" borderId="14" xfId="2" applyFont="1" applyFill="1" applyBorder="1" applyAlignment="1">
      <alignment vertical="center" wrapText="1"/>
    </xf>
    <xf numFmtId="0" fontId="23" fillId="0" borderId="19" xfId="2" quotePrefix="1" applyFont="1" applyBorder="1" applyAlignment="1">
      <alignment horizontal="center" vertical="center" wrapText="1"/>
    </xf>
    <xf numFmtId="10" fontId="20" fillId="0" borderId="19" xfId="1" applyNumberFormat="1" applyFont="1" applyFill="1" applyBorder="1" applyAlignment="1">
      <alignment horizontal="right" vertical="center"/>
    </xf>
    <xf numFmtId="3" fontId="21" fillId="0" borderId="25" xfId="2" applyNumberFormat="1" applyFont="1" applyBorder="1" applyAlignment="1">
      <alignment horizontal="right" vertical="center"/>
    </xf>
    <xf numFmtId="10" fontId="21" fillId="0" borderId="25" xfId="1" applyNumberFormat="1" applyFont="1" applyFill="1" applyBorder="1" applyAlignment="1">
      <alignment horizontal="left" vertical="center"/>
    </xf>
    <xf numFmtId="0" fontId="37" fillId="0" borderId="6" xfId="2" applyFont="1" applyBorder="1" applyAlignment="1">
      <alignment vertical="center" wrapText="1"/>
    </xf>
    <xf numFmtId="0" fontId="43" fillId="0" borderId="12" xfId="2" applyFont="1" applyBorder="1" applyAlignment="1">
      <alignment vertical="center" wrapText="1"/>
    </xf>
    <xf numFmtId="0" fontId="31" fillId="0" borderId="17" xfId="2" applyFont="1" applyBorder="1" applyAlignment="1">
      <alignment vertical="center" wrapText="1"/>
    </xf>
    <xf numFmtId="0" fontId="31" fillId="0" borderId="14" xfId="2" applyFont="1" applyBorder="1" applyAlignment="1">
      <alignment vertical="center" wrapText="1"/>
    </xf>
    <xf numFmtId="0" fontId="6" fillId="6" borderId="12" xfId="2" applyFont="1" applyFill="1" applyBorder="1" applyAlignment="1">
      <alignment horizontal="center" vertical="center" wrapText="1"/>
    </xf>
    <xf numFmtId="3" fontId="6" fillId="6" borderId="15" xfId="2" applyNumberFormat="1" applyFont="1" applyFill="1" applyBorder="1" applyAlignment="1">
      <alignment horizontal="right" vertical="center"/>
    </xf>
    <xf numFmtId="10" fontId="35" fillId="0" borderId="16" xfId="1" applyNumberFormat="1" applyFont="1" applyFill="1" applyBorder="1" applyAlignment="1">
      <alignment horizontal="left" vertical="center"/>
    </xf>
    <xf numFmtId="3" fontId="33" fillId="5" borderId="31" xfId="2" applyNumberFormat="1" applyFont="1" applyFill="1" applyBorder="1" applyAlignment="1">
      <alignment horizontal="right" vertical="center"/>
    </xf>
    <xf numFmtId="10" fontId="10" fillId="5" borderId="33" xfId="1" applyNumberFormat="1" applyFont="1" applyFill="1" applyBorder="1" applyAlignment="1">
      <alignment horizontal="left" vertical="center"/>
    </xf>
    <xf numFmtId="0" fontId="31" fillId="4" borderId="2" xfId="2" applyFont="1" applyFill="1" applyBorder="1" applyAlignment="1">
      <alignment horizontal="center" vertical="center" wrapText="1"/>
    </xf>
    <xf numFmtId="0" fontId="31" fillId="4" borderId="11" xfId="2" quotePrefix="1" applyFont="1" applyFill="1" applyBorder="1" applyAlignment="1">
      <alignment horizontal="left" vertical="center" wrapText="1"/>
    </xf>
    <xf numFmtId="0" fontId="33" fillId="4" borderId="2" xfId="2" quotePrefix="1" applyFont="1" applyFill="1" applyBorder="1" applyAlignment="1">
      <alignment horizontal="left" vertical="center" wrapText="1"/>
    </xf>
    <xf numFmtId="4" fontId="32" fillId="4" borderId="4" xfId="2" applyNumberFormat="1" applyFont="1" applyFill="1" applyBorder="1" applyAlignment="1">
      <alignment horizontal="right" vertical="center"/>
    </xf>
    <xf numFmtId="10" fontId="32" fillId="4" borderId="2" xfId="1" applyNumberFormat="1" applyFont="1" applyFill="1" applyBorder="1" applyAlignment="1">
      <alignment horizontal="right" vertical="center"/>
    </xf>
    <xf numFmtId="0" fontId="3" fillId="4" borderId="9" xfId="2" applyFill="1" applyBorder="1"/>
    <xf numFmtId="4" fontId="10" fillId="5" borderId="26" xfId="2" applyNumberFormat="1" applyFont="1" applyFill="1" applyBorder="1" applyAlignment="1">
      <alignment horizontal="right" vertical="center"/>
    </xf>
    <xf numFmtId="10" fontId="10" fillId="5" borderId="14" xfId="1" applyNumberFormat="1" applyFont="1" applyFill="1" applyBorder="1" applyAlignment="1">
      <alignment horizontal="right" vertical="center"/>
    </xf>
    <xf numFmtId="0" fontId="3" fillId="5" borderId="37" xfId="2" applyFill="1" applyBorder="1"/>
    <xf numFmtId="0" fontId="6" fillId="6" borderId="15" xfId="2" quotePrefix="1" applyFont="1" applyFill="1" applyBorder="1" applyAlignment="1">
      <alignment horizontal="left" vertical="center" wrapText="1"/>
    </xf>
    <xf numFmtId="4" fontId="6" fillId="0" borderId="20" xfId="2" applyNumberFormat="1" applyFont="1" applyBorder="1" applyAlignment="1">
      <alignment horizontal="right" vertical="center"/>
    </xf>
    <xf numFmtId="10" fontId="35" fillId="0" borderId="19" xfId="1" applyNumberFormat="1" applyFont="1" applyFill="1" applyBorder="1" applyAlignment="1">
      <alignment horizontal="right" vertical="center"/>
    </xf>
    <xf numFmtId="3" fontId="35" fillId="0" borderId="19" xfId="1" applyNumberFormat="1" applyFont="1" applyFill="1" applyBorder="1" applyAlignment="1">
      <alignment horizontal="right" vertical="center"/>
    </xf>
    <xf numFmtId="0" fontId="3" fillId="0" borderId="25" xfId="2" applyBorder="1"/>
    <xf numFmtId="3" fontId="35" fillId="0" borderId="14" xfId="1" applyNumberFormat="1" applyFont="1" applyFill="1" applyBorder="1" applyAlignment="1">
      <alignment horizontal="right" vertical="center"/>
    </xf>
    <xf numFmtId="0" fontId="3" fillId="0" borderId="16" xfId="2" applyBorder="1"/>
    <xf numFmtId="4" fontId="33" fillId="5" borderId="31" xfId="2" applyNumberFormat="1" applyFont="1" applyFill="1" applyBorder="1" applyAlignment="1">
      <alignment horizontal="right" vertical="center"/>
    </xf>
    <xf numFmtId="10" fontId="10" fillId="5" borderId="30" xfId="1" applyNumberFormat="1" applyFont="1" applyFill="1" applyBorder="1" applyAlignment="1">
      <alignment horizontal="right" vertical="center"/>
    </xf>
    <xf numFmtId="0" fontId="3" fillId="5" borderId="8" xfId="2" applyFill="1" applyBorder="1"/>
    <xf numFmtId="0" fontId="19" fillId="4" borderId="7" xfId="2" quotePrefix="1" applyFont="1" applyFill="1" applyBorder="1" applyAlignment="1">
      <alignment horizontal="left" vertical="center" wrapText="1"/>
    </xf>
    <xf numFmtId="0" fontId="20" fillId="4" borderId="6" xfId="2" quotePrefix="1" applyFont="1" applyFill="1" applyBorder="1" applyAlignment="1">
      <alignment horizontal="left" vertical="center" wrapText="1"/>
    </xf>
    <xf numFmtId="10" fontId="12" fillId="4" borderId="6" xfId="1" applyNumberFormat="1" applyFont="1" applyFill="1" applyBorder="1" applyAlignment="1">
      <alignment horizontal="right" vertical="center"/>
    </xf>
    <xf numFmtId="0" fontId="19" fillId="6" borderId="17" xfId="2" applyFont="1" applyFill="1" applyBorder="1" applyAlignment="1">
      <alignment horizontal="center" vertical="center" wrapText="1"/>
    </xf>
    <xf numFmtId="0" fontId="23" fillId="6" borderId="19" xfId="4" quotePrefix="1" applyFont="1" applyFill="1" applyBorder="1" applyAlignment="1">
      <alignment horizontal="left" vertical="center" wrapText="1"/>
    </xf>
    <xf numFmtId="0" fontId="31" fillId="4" borderId="6" xfId="2" applyFont="1" applyFill="1" applyBorder="1" applyAlignment="1">
      <alignment horizontal="center" vertical="center" wrapText="1"/>
    </xf>
    <xf numFmtId="0" fontId="31" fillId="4" borderId="7" xfId="2" quotePrefix="1" applyFont="1" applyFill="1" applyBorder="1" applyAlignment="1">
      <alignment horizontal="left" vertical="center" wrapText="1"/>
    </xf>
    <xf numFmtId="0" fontId="33" fillId="4" borderId="6" xfId="2" quotePrefix="1" applyFont="1" applyFill="1" applyBorder="1" applyAlignment="1">
      <alignment horizontal="left" vertical="center" wrapText="1"/>
    </xf>
    <xf numFmtId="3" fontId="32" fillId="4" borderId="6" xfId="2" applyNumberFormat="1" applyFont="1" applyFill="1" applyBorder="1" applyAlignment="1">
      <alignment horizontal="right" vertical="center"/>
    </xf>
    <xf numFmtId="3" fontId="32" fillId="4" borderId="7" xfId="2" applyNumberFormat="1" applyFont="1" applyFill="1" applyBorder="1" applyAlignment="1">
      <alignment horizontal="right" vertical="center"/>
    </xf>
    <xf numFmtId="0" fontId="31" fillId="6" borderId="17" xfId="2" applyFont="1" applyFill="1" applyBorder="1" applyAlignment="1">
      <alignment horizontal="center" vertical="center" wrapText="1"/>
    </xf>
    <xf numFmtId="0" fontId="6" fillId="0" borderId="0" xfId="2" quotePrefix="1" applyFont="1" applyAlignment="1">
      <alignment horizontal="left" vertical="center" wrapText="1"/>
    </xf>
    <xf numFmtId="0" fontId="6" fillId="6" borderId="17" xfId="2" quotePrefix="1" applyFont="1" applyFill="1" applyBorder="1" applyAlignment="1">
      <alignment horizontal="center" vertical="center" wrapText="1"/>
    </xf>
    <xf numFmtId="0" fontId="28" fillId="4" borderId="2" xfId="2" applyFont="1" applyFill="1" applyBorder="1" applyAlignment="1">
      <alignment vertical="center" wrapText="1"/>
    </xf>
    <xf numFmtId="0" fontId="26" fillId="5" borderId="27" xfId="2" quotePrefix="1" applyFont="1" applyFill="1" applyBorder="1" applyAlignment="1">
      <alignment horizontal="left" vertical="center" wrapText="1"/>
    </xf>
    <xf numFmtId="0" fontId="23" fillId="6" borderId="21" xfId="2" quotePrefix="1" applyFont="1" applyFill="1" applyBorder="1" applyAlignment="1">
      <alignment horizontal="left" vertical="center" wrapText="1"/>
    </xf>
    <xf numFmtId="49" fontId="27" fillId="6" borderId="19" xfId="2" quotePrefix="1" applyNumberFormat="1" applyFont="1" applyFill="1" applyBorder="1" applyAlignment="1">
      <alignment horizontal="center" vertical="center" wrapText="1"/>
    </xf>
    <xf numFmtId="0" fontId="23" fillId="6" borderId="20" xfId="2" quotePrefix="1" applyFont="1" applyFill="1" applyBorder="1" applyAlignment="1">
      <alignment horizontal="left" vertical="center" wrapText="1"/>
    </xf>
    <xf numFmtId="0" fontId="23" fillId="6" borderId="20" xfId="2" applyFont="1" applyFill="1" applyBorder="1" applyAlignment="1">
      <alignment vertical="center" wrapText="1"/>
    </xf>
    <xf numFmtId="0" fontId="23" fillId="0" borderId="12" xfId="2" quotePrefix="1" applyFont="1" applyBorder="1" applyAlignment="1">
      <alignment horizontal="center" vertical="center" wrapText="1"/>
    </xf>
    <xf numFmtId="0" fontId="23" fillId="6" borderId="15" xfId="2" applyFont="1" applyFill="1" applyBorder="1" applyAlignment="1">
      <alignment vertical="center" wrapText="1"/>
    </xf>
    <xf numFmtId="0" fontId="23" fillId="0" borderId="14" xfId="2" quotePrefix="1" applyFont="1" applyBorder="1" applyAlignment="1">
      <alignment horizontal="center" vertical="center" wrapText="1"/>
    </xf>
    <xf numFmtId="0" fontId="23" fillId="6" borderId="15" xfId="2" quotePrefix="1" applyFont="1" applyFill="1" applyBorder="1" applyAlignment="1">
      <alignment horizontal="left" vertical="center" wrapText="1"/>
    </xf>
    <xf numFmtId="10" fontId="25" fillId="0" borderId="8" xfId="1" applyNumberFormat="1" applyFont="1" applyFill="1" applyBorder="1" applyAlignment="1">
      <alignment horizontal="left" vertical="center"/>
    </xf>
    <xf numFmtId="3" fontId="24" fillId="0" borderId="27" xfId="3" applyNumberFormat="1" applyFont="1" applyFill="1" applyBorder="1" applyAlignment="1">
      <alignment horizontal="right" vertical="center"/>
    </xf>
    <xf numFmtId="10" fontId="25" fillId="0" borderId="37" xfId="1" applyNumberFormat="1" applyFont="1" applyFill="1" applyBorder="1" applyAlignment="1">
      <alignment horizontal="left" vertical="center"/>
    </xf>
    <xf numFmtId="0" fontId="23" fillId="6" borderId="34" xfId="2" quotePrefix="1" applyFont="1" applyFill="1" applyBorder="1" applyAlignment="1">
      <alignment horizontal="left" vertical="center" wrapText="1"/>
    </xf>
    <xf numFmtId="0" fontId="23" fillId="6" borderId="34" xfId="2" quotePrefix="1" applyFont="1" applyFill="1" applyBorder="1" applyAlignment="1">
      <alignment vertical="center" wrapText="1"/>
    </xf>
    <xf numFmtId="0" fontId="23" fillId="6" borderId="20" xfId="2" quotePrefix="1" applyFont="1" applyFill="1" applyBorder="1" applyAlignment="1">
      <alignment vertical="center" wrapText="1"/>
    </xf>
    <xf numFmtId="0" fontId="23" fillId="6" borderId="21" xfId="2" quotePrefix="1" applyFont="1" applyFill="1" applyBorder="1" applyAlignment="1">
      <alignment vertical="center" wrapText="1"/>
    </xf>
    <xf numFmtId="0" fontId="20" fillId="0" borderId="14" xfId="2" applyFont="1" applyBorder="1" applyAlignment="1">
      <alignment vertical="center" wrapText="1"/>
    </xf>
    <xf numFmtId="0" fontId="20" fillId="6" borderId="12" xfId="2" applyFont="1" applyFill="1" applyBorder="1" applyAlignment="1">
      <alignment vertical="center" wrapText="1"/>
    </xf>
    <xf numFmtId="0" fontId="23" fillId="6" borderId="24" xfId="2" quotePrefix="1" applyFont="1" applyFill="1" applyBorder="1" applyAlignment="1">
      <alignment vertical="center" wrapText="1"/>
    </xf>
    <xf numFmtId="0" fontId="20" fillId="6" borderId="14" xfId="2" applyFont="1" applyFill="1" applyBorder="1" applyAlignment="1">
      <alignment vertical="center" wrapText="1"/>
    </xf>
    <xf numFmtId="0" fontId="23" fillId="6" borderId="0" xfId="2" quotePrefix="1" applyFont="1" applyFill="1" applyAlignment="1">
      <alignment horizontal="left" vertical="center" wrapText="1"/>
    </xf>
    <xf numFmtId="0" fontId="23" fillId="6" borderId="19" xfId="2" quotePrefix="1" applyFont="1" applyFill="1" applyBorder="1" applyAlignment="1">
      <alignment horizontal="left" vertical="center" wrapText="1"/>
    </xf>
    <xf numFmtId="0" fontId="20" fillId="6" borderId="6" xfId="2" applyFont="1" applyFill="1" applyBorder="1" applyAlignment="1">
      <alignment vertical="center" wrapText="1"/>
    </xf>
    <xf numFmtId="0" fontId="23" fillId="6" borderId="31" xfId="2" quotePrefix="1" applyFont="1" applyFill="1" applyBorder="1" applyAlignment="1">
      <alignment vertical="center" wrapText="1"/>
    </xf>
    <xf numFmtId="0" fontId="23" fillId="0" borderId="30" xfId="2" quotePrefix="1" applyFont="1" applyBorder="1" applyAlignment="1">
      <alignment horizontal="center" vertical="center" wrapText="1"/>
    </xf>
    <xf numFmtId="3" fontId="23" fillId="0" borderId="30" xfId="2" applyNumberFormat="1" applyFont="1" applyBorder="1" applyAlignment="1">
      <alignment horizontal="right" vertical="center"/>
    </xf>
    <xf numFmtId="0" fontId="27" fillId="6" borderId="7" xfId="2" quotePrefix="1" applyFont="1" applyFill="1" applyBorder="1" applyAlignment="1">
      <alignment vertical="center" wrapText="1"/>
    </xf>
    <xf numFmtId="0" fontId="27" fillId="6" borderId="6" xfId="2" quotePrefix="1" applyFont="1" applyFill="1" applyBorder="1" applyAlignment="1">
      <alignment horizontal="center" vertical="center" wrapText="1"/>
    </xf>
    <xf numFmtId="10" fontId="24" fillId="0" borderId="12" xfId="1" applyNumberFormat="1" applyFont="1" applyFill="1" applyBorder="1" applyAlignment="1">
      <alignment horizontal="right" vertical="center"/>
    </xf>
    <xf numFmtId="0" fontId="11" fillId="3" borderId="2" xfId="4" applyFont="1" applyFill="1" applyBorder="1" applyAlignment="1">
      <alignment horizontal="center" vertical="center" wrapText="1"/>
    </xf>
    <xf numFmtId="0" fontId="11" fillId="3" borderId="9" xfId="4" applyFont="1" applyFill="1" applyBorder="1" applyAlignment="1">
      <alignment horizontal="center" vertical="center" wrapText="1"/>
    </xf>
    <xf numFmtId="0" fontId="11" fillId="3" borderId="10" xfId="4" applyFont="1" applyFill="1" applyBorder="1" applyAlignment="1">
      <alignment vertical="center" wrapText="1"/>
    </xf>
    <xf numFmtId="0" fontId="11" fillId="3" borderId="2" xfId="4" applyFont="1" applyFill="1" applyBorder="1" applyAlignment="1">
      <alignment vertical="center" wrapText="1"/>
    </xf>
    <xf numFmtId="3" fontId="32" fillId="3" borderId="3" xfId="2" applyNumberFormat="1" applyFont="1" applyFill="1" applyBorder="1" applyAlignment="1">
      <alignment horizontal="right" vertical="center"/>
    </xf>
    <xf numFmtId="3" fontId="32" fillId="3" borderId="4" xfId="2" applyNumberFormat="1" applyFont="1" applyFill="1" applyBorder="1" applyAlignment="1">
      <alignment horizontal="right" vertical="center"/>
    </xf>
    <xf numFmtId="10" fontId="32" fillId="3" borderId="5" xfId="1" applyNumberFormat="1" applyFont="1" applyFill="1" applyBorder="1" applyAlignment="1">
      <alignment horizontal="left" vertical="center"/>
    </xf>
    <xf numFmtId="0" fontId="6" fillId="6" borderId="3" xfId="4" applyFont="1" applyFill="1" applyBorder="1" applyAlignment="1">
      <alignment vertical="center" wrapText="1"/>
    </xf>
    <xf numFmtId="0" fontId="31" fillId="4" borderId="9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vertical="center" wrapText="1"/>
    </xf>
    <xf numFmtId="0" fontId="31" fillId="4" borderId="2" xfId="4" applyFont="1" applyFill="1" applyBorder="1" applyAlignment="1">
      <alignment vertical="center" wrapText="1"/>
    </xf>
    <xf numFmtId="0" fontId="6" fillId="6" borderId="12" xfId="4" applyFont="1" applyFill="1" applyBorder="1" applyAlignment="1">
      <alignment vertical="center" wrapText="1"/>
    </xf>
    <xf numFmtId="0" fontId="33" fillId="5" borderId="14" xfId="4" applyFont="1" applyFill="1" applyBorder="1" applyAlignment="1">
      <alignment horizontal="left" vertical="center" wrapText="1"/>
    </xf>
    <xf numFmtId="0" fontId="31" fillId="6" borderId="25" xfId="4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 wrapText="1"/>
    </xf>
    <xf numFmtId="0" fontId="6" fillId="6" borderId="6" xfId="4" applyFont="1" applyFill="1" applyBorder="1" applyAlignment="1">
      <alignment vertical="center" wrapText="1"/>
    </xf>
    <xf numFmtId="0" fontId="33" fillId="5" borderId="30" xfId="4" applyFont="1" applyFill="1" applyBorder="1" applyAlignment="1">
      <alignment horizontal="left" vertical="center" wrapText="1"/>
    </xf>
    <xf numFmtId="3" fontId="10" fillId="5" borderId="6" xfId="2" applyNumberFormat="1" applyFont="1" applyFill="1" applyBorder="1" applyAlignment="1">
      <alignment horizontal="right" vertical="center"/>
    </xf>
    <xf numFmtId="3" fontId="10" fillId="5" borderId="7" xfId="2" applyNumberFormat="1" applyFont="1" applyFill="1" applyBorder="1" applyAlignment="1">
      <alignment horizontal="right" vertical="center"/>
    </xf>
    <xf numFmtId="0" fontId="43" fillId="3" borderId="2" xfId="4" applyFont="1" applyFill="1" applyBorder="1" applyAlignment="1">
      <alignment horizontal="center" vertical="center" wrapText="1"/>
    </xf>
    <xf numFmtId="0" fontId="43" fillId="3" borderId="9" xfId="4" applyFont="1" applyFill="1" applyBorder="1" applyAlignment="1">
      <alignment horizontal="center" vertical="center" wrapText="1"/>
    </xf>
    <xf numFmtId="0" fontId="44" fillId="3" borderId="10" xfId="4" applyFont="1" applyFill="1" applyBorder="1" applyAlignment="1">
      <alignment vertical="center" wrapText="1"/>
    </xf>
    <xf numFmtId="0" fontId="43" fillId="3" borderId="2" xfId="4" applyFont="1" applyFill="1" applyBorder="1" applyAlignment="1">
      <alignment vertical="center" wrapText="1"/>
    </xf>
    <xf numFmtId="3" fontId="32" fillId="3" borderId="2" xfId="3" applyNumberFormat="1" applyFont="1" applyFill="1" applyBorder="1" applyAlignment="1">
      <alignment horizontal="right" vertical="center"/>
    </xf>
    <xf numFmtId="3" fontId="11" fillId="3" borderId="2" xfId="2" applyNumberFormat="1" applyFont="1" applyFill="1" applyBorder="1" applyAlignment="1">
      <alignment horizontal="right" vertical="center"/>
    </xf>
    <xf numFmtId="3" fontId="11" fillId="3" borderId="10" xfId="2" applyNumberFormat="1" applyFont="1" applyFill="1" applyBorder="1" applyAlignment="1">
      <alignment horizontal="right" vertical="center"/>
    </xf>
    <xf numFmtId="10" fontId="32" fillId="3" borderId="9" xfId="1" applyNumberFormat="1" applyFont="1" applyFill="1" applyBorder="1" applyAlignment="1">
      <alignment horizontal="left" vertical="center"/>
    </xf>
    <xf numFmtId="0" fontId="9" fillId="6" borderId="3" xfId="4" applyFont="1" applyFill="1" applyBorder="1" applyAlignment="1">
      <alignment vertical="center" wrapText="1"/>
    </xf>
    <xf numFmtId="0" fontId="45" fillId="4" borderId="9" xfId="4" applyFont="1" applyFill="1" applyBorder="1" applyAlignment="1">
      <alignment horizontal="center" vertical="center" wrapText="1"/>
    </xf>
    <xf numFmtId="0" fontId="45" fillId="4" borderId="10" xfId="4" applyFont="1" applyFill="1" applyBorder="1" applyAlignment="1">
      <alignment vertical="center" wrapText="1"/>
    </xf>
    <xf numFmtId="0" fontId="45" fillId="4" borderId="2" xfId="4" applyFont="1" applyFill="1" applyBorder="1" applyAlignment="1">
      <alignment vertical="center" wrapText="1"/>
    </xf>
    <xf numFmtId="3" fontId="32" fillId="4" borderId="2" xfId="3" applyNumberFormat="1" applyFont="1" applyFill="1" applyBorder="1" applyAlignment="1">
      <alignment horizontal="right" vertical="center"/>
    </xf>
    <xf numFmtId="3" fontId="32" fillId="4" borderId="10" xfId="3" applyNumberFormat="1" applyFont="1" applyFill="1" applyBorder="1" applyAlignment="1">
      <alignment horizontal="right" vertical="center"/>
    </xf>
    <xf numFmtId="0" fontId="9" fillId="6" borderId="12" xfId="4" applyFont="1" applyFill="1" applyBorder="1" applyAlignment="1">
      <alignment vertical="center" wrapText="1"/>
    </xf>
    <xf numFmtId="0" fontId="33" fillId="5" borderId="27" xfId="4" applyFont="1" applyFill="1" applyBorder="1" applyAlignment="1">
      <alignment horizontal="left" vertical="center" wrapText="1"/>
    </xf>
    <xf numFmtId="3" fontId="10" fillId="5" borderId="14" xfId="3" applyNumberFormat="1" applyFont="1" applyFill="1" applyBorder="1" applyAlignment="1">
      <alignment horizontal="right" vertical="center"/>
    </xf>
    <xf numFmtId="3" fontId="10" fillId="5" borderId="15" xfId="3" applyNumberFormat="1" applyFont="1" applyFill="1" applyBorder="1" applyAlignment="1">
      <alignment horizontal="right" vertical="center"/>
    </xf>
    <xf numFmtId="0" fontId="29" fillId="6" borderId="12" xfId="4" applyFont="1" applyFill="1" applyBorder="1" applyAlignment="1">
      <alignment vertical="center" wrapText="1"/>
    </xf>
    <xf numFmtId="0" fontId="6" fillId="6" borderId="21" xfId="4" quotePrefix="1" applyFont="1" applyFill="1" applyBorder="1" applyAlignment="1">
      <alignment horizontal="left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21" xfId="4" applyFont="1" applyBorder="1" applyAlignment="1">
      <alignment vertical="center" wrapText="1"/>
    </xf>
    <xf numFmtId="0" fontId="29" fillId="6" borderId="6" xfId="4" applyFont="1" applyFill="1" applyBorder="1" applyAlignment="1">
      <alignment vertical="center" wrapText="1"/>
    </xf>
    <xf numFmtId="3" fontId="35" fillId="5" borderId="30" xfId="3" applyNumberFormat="1" applyFont="1" applyFill="1" applyBorder="1" applyAlignment="1">
      <alignment horizontal="right" vertical="center"/>
    </xf>
    <xf numFmtId="3" fontId="35" fillId="5" borderId="31" xfId="3" applyNumberFormat="1" applyFont="1" applyFill="1" applyBorder="1" applyAlignment="1">
      <alignment horizontal="right" vertical="center"/>
    </xf>
    <xf numFmtId="0" fontId="28" fillId="3" borderId="2" xfId="2" applyFont="1" applyFill="1" applyBorder="1" applyAlignment="1">
      <alignment horizontal="center" vertical="center" wrapText="1"/>
    </xf>
    <xf numFmtId="0" fontId="47" fillId="3" borderId="10" xfId="2" applyFont="1" applyFill="1" applyBorder="1" applyAlignment="1">
      <alignment vertical="center" wrapText="1"/>
    </xf>
    <xf numFmtId="10" fontId="18" fillId="3" borderId="9" xfId="1" applyNumberFormat="1" applyFont="1" applyFill="1" applyBorder="1" applyAlignment="1">
      <alignment horizontal="left" vertical="center"/>
    </xf>
    <xf numFmtId="0" fontId="33" fillId="5" borderId="27" xfId="2" applyFont="1" applyFill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6" fillId="0" borderId="24" xfId="2" applyFont="1" applyBorder="1" applyAlignment="1">
      <alignment vertical="center" wrapText="1"/>
    </xf>
    <xf numFmtId="0" fontId="6" fillId="0" borderId="15" xfId="2" applyFont="1" applyBorder="1" applyAlignment="1">
      <alignment vertical="center" wrapText="1"/>
    </xf>
    <xf numFmtId="0" fontId="33" fillId="5" borderId="6" xfId="2" quotePrefix="1" applyFont="1" applyFill="1" applyBorder="1" applyAlignment="1">
      <alignment horizontal="left" vertical="center" wrapText="1"/>
    </xf>
    <xf numFmtId="3" fontId="10" fillId="5" borderId="12" xfId="2" applyNumberFormat="1" applyFont="1" applyFill="1" applyBorder="1" applyAlignment="1">
      <alignment horizontal="right" vertical="center"/>
    </xf>
    <xf numFmtId="0" fontId="31" fillId="4" borderId="7" xfId="2" applyFont="1" applyFill="1" applyBorder="1" applyAlignment="1">
      <alignment vertical="center" wrapText="1"/>
    </xf>
    <xf numFmtId="0" fontId="31" fillId="4" borderId="6" xfId="2" applyFont="1" applyFill="1" applyBorder="1" applyAlignment="1">
      <alignment vertical="center" wrapText="1"/>
    </xf>
    <xf numFmtId="3" fontId="32" fillId="4" borderId="2" xfId="2" applyNumberFormat="1" applyFont="1" applyFill="1" applyBorder="1" applyAlignment="1">
      <alignment horizontal="right" vertical="center"/>
    </xf>
    <xf numFmtId="3" fontId="32" fillId="4" borderId="10" xfId="2" applyNumberFormat="1" applyFont="1" applyFill="1" applyBorder="1" applyAlignment="1">
      <alignment horizontal="right" vertical="center"/>
    </xf>
    <xf numFmtId="0" fontId="33" fillId="5" borderId="14" xfId="2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2" fillId="3" borderId="9" xfId="4" applyFont="1" applyFill="1" applyBorder="1" applyAlignment="1">
      <alignment horizontal="center" vertical="center" wrapText="1"/>
    </xf>
    <xf numFmtId="0" fontId="12" fillId="3" borderId="10" xfId="4" applyFont="1" applyFill="1" applyBorder="1" applyAlignment="1">
      <alignment vertical="center" wrapText="1"/>
    </xf>
    <xf numFmtId="0" fontId="12" fillId="3" borderId="2" xfId="4" applyFont="1" applyFill="1" applyBorder="1" applyAlignment="1">
      <alignment vertical="center" wrapText="1"/>
    </xf>
    <xf numFmtId="0" fontId="27" fillId="6" borderId="3" xfId="4" applyFont="1" applyFill="1" applyBorder="1" applyAlignment="1">
      <alignment vertical="center" wrapText="1"/>
    </xf>
    <xf numFmtId="0" fontId="28" fillId="4" borderId="2" xfId="4" applyFont="1" applyFill="1" applyBorder="1" applyAlignment="1">
      <alignment vertical="center" wrapText="1"/>
    </xf>
    <xf numFmtId="0" fontId="27" fillId="6" borderId="12" xfId="4" applyFont="1" applyFill="1" applyBorder="1" applyAlignment="1">
      <alignment vertical="center" wrapText="1"/>
    </xf>
    <xf numFmtId="0" fontId="26" fillId="5" borderId="14" xfId="4" applyFont="1" applyFill="1" applyBorder="1" applyAlignment="1">
      <alignment horizontal="left" vertical="center" wrapText="1"/>
    </xf>
    <xf numFmtId="0" fontId="33" fillId="5" borderId="17" xfId="4" applyFont="1" applyFill="1" applyBorder="1" applyAlignment="1">
      <alignment horizontal="left" vertical="center" wrapText="1"/>
    </xf>
    <xf numFmtId="0" fontId="19" fillId="4" borderId="2" xfId="4" applyFont="1" applyFill="1" applyBorder="1" applyAlignment="1">
      <alignment horizontal="center" vertical="center" wrapText="1"/>
    </xf>
    <xf numFmtId="0" fontId="19" fillId="4" borderId="10" xfId="4" applyFont="1" applyFill="1" applyBorder="1" applyAlignment="1">
      <alignment vertical="center" wrapText="1"/>
    </xf>
    <xf numFmtId="0" fontId="19" fillId="4" borderId="2" xfId="4" applyFont="1" applyFill="1" applyBorder="1" applyAlignment="1">
      <alignment vertical="center" wrapText="1"/>
    </xf>
    <xf numFmtId="10" fontId="27" fillId="4" borderId="2" xfId="1" applyNumberFormat="1" applyFont="1" applyFill="1" applyBorder="1" applyAlignment="1">
      <alignment horizontal="right" vertical="center"/>
    </xf>
    <xf numFmtId="0" fontId="26" fillId="5" borderId="27" xfId="4" applyFont="1" applyFill="1" applyBorder="1" applyAlignment="1">
      <alignment horizontal="left" vertical="center" wrapText="1"/>
    </xf>
    <xf numFmtId="10" fontId="18" fillId="5" borderId="16" xfId="1" applyNumberFormat="1" applyFont="1" applyFill="1" applyBorder="1" applyAlignment="1">
      <alignment horizontal="left" vertical="center"/>
    </xf>
    <xf numFmtId="0" fontId="23" fillId="0" borderId="15" xfId="4" quotePrefix="1" applyFont="1" applyBorder="1" applyAlignment="1">
      <alignment horizontal="left" vertical="center" wrapText="1"/>
    </xf>
    <xf numFmtId="0" fontId="27" fillId="0" borderId="14" xfId="4" applyFont="1" applyBorder="1" applyAlignment="1">
      <alignment horizontal="center" vertical="center" wrapText="1"/>
    </xf>
    <xf numFmtId="3" fontId="24" fillId="0" borderId="14" xfId="2" applyNumberFormat="1" applyFont="1" applyBorder="1" applyAlignment="1">
      <alignment horizontal="right" vertical="center"/>
    </xf>
    <xf numFmtId="10" fontId="27" fillId="5" borderId="19" xfId="1" applyNumberFormat="1" applyFont="1" applyFill="1" applyBorder="1" applyAlignment="1">
      <alignment horizontal="right" vertical="center"/>
    </xf>
    <xf numFmtId="10" fontId="18" fillId="5" borderId="25" xfId="1" applyNumberFormat="1" applyFont="1" applyFill="1" applyBorder="1" applyAlignment="1">
      <alignment horizontal="left" vertical="center"/>
    </xf>
    <xf numFmtId="0" fontId="23" fillId="0" borderId="20" xfId="4" applyFont="1" applyBorder="1" applyAlignment="1">
      <alignment horizontal="left" vertical="center" wrapText="1"/>
    </xf>
    <xf numFmtId="0" fontId="27" fillId="0" borderId="19" xfId="4" applyFont="1" applyBorder="1" applyAlignment="1">
      <alignment horizontal="center" vertical="center" wrapText="1"/>
    </xf>
    <xf numFmtId="3" fontId="24" fillId="0" borderId="19" xfId="2" applyNumberFormat="1" applyFont="1" applyBorder="1" applyAlignment="1">
      <alignment horizontal="right" vertical="center"/>
    </xf>
    <xf numFmtId="0" fontId="27" fillId="5" borderId="14" xfId="4" applyFont="1" applyFill="1" applyBorder="1" applyAlignment="1">
      <alignment horizontal="center" vertical="center" wrapText="1"/>
    </xf>
    <xf numFmtId="0" fontId="26" fillId="6" borderId="17" xfId="4" applyFont="1" applyFill="1" applyBorder="1" applyAlignment="1">
      <alignment vertical="center" wrapText="1"/>
    </xf>
    <xf numFmtId="0" fontId="23" fillId="0" borderId="18" xfId="4" applyFont="1" applyBorder="1" applyAlignment="1">
      <alignment vertical="center" wrapText="1"/>
    </xf>
    <xf numFmtId="0" fontId="23" fillId="6" borderId="17" xfId="4" applyFont="1" applyFill="1" applyBorder="1" applyAlignment="1">
      <alignment horizontal="center" vertical="center" wrapText="1"/>
    </xf>
    <xf numFmtId="10" fontId="27" fillId="0" borderId="17" xfId="1" applyNumberFormat="1" applyFont="1" applyFill="1" applyBorder="1" applyAlignment="1">
      <alignment horizontal="right" vertical="center"/>
    </xf>
    <xf numFmtId="10" fontId="21" fillId="5" borderId="5" xfId="1" applyNumberFormat="1" applyFont="1" applyFill="1" applyBorder="1" applyAlignment="1">
      <alignment horizontal="left" vertical="center"/>
    </xf>
    <xf numFmtId="0" fontId="31" fillId="6" borderId="22" xfId="4" applyFont="1" applyFill="1" applyBorder="1" applyAlignment="1">
      <alignment horizontal="center" vertical="center" wrapText="1"/>
    </xf>
    <xf numFmtId="0" fontId="6" fillId="0" borderId="18" xfId="4" applyFont="1" applyBorder="1" applyAlignment="1">
      <alignment vertical="center" wrapText="1"/>
    </xf>
    <xf numFmtId="0" fontId="6" fillId="6" borderId="17" xfId="4" applyFont="1" applyFill="1" applyBorder="1" applyAlignment="1">
      <alignment horizontal="center" vertical="center" wrapText="1"/>
    </xf>
    <xf numFmtId="3" fontId="10" fillId="5" borderId="30" xfId="3" applyNumberFormat="1" applyFont="1" applyFill="1" applyBorder="1" applyAlignment="1">
      <alignment horizontal="right" vertical="center"/>
    </xf>
    <xf numFmtId="3" fontId="6" fillId="5" borderId="30" xfId="2" applyNumberFormat="1" applyFont="1" applyFill="1" applyBorder="1" applyAlignment="1">
      <alignment horizontal="right" vertical="center"/>
    </xf>
    <xf numFmtId="0" fontId="31" fillId="4" borderId="2" xfId="4" applyFont="1" applyFill="1" applyBorder="1" applyAlignment="1">
      <alignment horizontal="center" vertical="center" wrapText="1"/>
    </xf>
    <xf numFmtId="0" fontId="31" fillId="6" borderId="17" xfId="4" applyFont="1" applyFill="1" applyBorder="1" applyAlignment="1">
      <alignment horizontal="center" vertical="center" wrapText="1"/>
    </xf>
    <xf numFmtId="49" fontId="6" fillId="6" borderId="19" xfId="4" applyNumberFormat="1" applyFont="1" applyFill="1" applyBorder="1" applyAlignment="1">
      <alignment horizontal="center" vertical="center" wrapText="1"/>
    </xf>
    <xf numFmtId="3" fontId="23" fillId="7" borderId="25" xfId="1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vertical="center" wrapText="1"/>
    </xf>
    <xf numFmtId="49" fontId="6" fillId="6" borderId="17" xfId="4" applyNumberFormat="1" applyFont="1" applyFill="1" applyBorder="1" applyAlignment="1">
      <alignment horizontal="center" vertical="center" wrapText="1"/>
    </xf>
    <xf numFmtId="0" fontId="26" fillId="5" borderId="30" xfId="4" applyFont="1" applyFill="1" applyBorder="1" applyAlignment="1">
      <alignment horizontal="left" vertical="center" wrapText="1"/>
    </xf>
    <xf numFmtId="3" fontId="20" fillId="5" borderId="33" xfId="1" applyNumberFormat="1" applyFont="1" applyFill="1" applyBorder="1" applyAlignment="1">
      <alignment horizontal="right" vertical="center"/>
    </xf>
    <xf numFmtId="0" fontId="28" fillId="4" borderId="6" xfId="4" applyFont="1" applyFill="1" applyBorder="1" applyAlignment="1">
      <alignment horizontal="center" vertical="center" wrapText="1"/>
    </xf>
    <xf numFmtId="0" fontId="28" fillId="4" borderId="7" xfId="4" applyFont="1" applyFill="1" applyBorder="1" applyAlignment="1">
      <alignment vertical="center" wrapText="1"/>
    </xf>
    <xf numFmtId="0" fontId="28" fillId="4" borderId="6" xfId="4" applyFont="1" applyFill="1" applyBorder="1" applyAlignment="1">
      <alignment vertical="center" wrapText="1"/>
    </xf>
    <xf numFmtId="3" fontId="22" fillId="5" borderId="27" xfId="2" applyNumberFormat="1" applyFont="1" applyFill="1" applyBorder="1" applyAlignment="1">
      <alignment horizontal="right" vertical="center"/>
    </xf>
    <xf numFmtId="0" fontId="26" fillId="5" borderId="17" xfId="4" applyFont="1" applyFill="1" applyBorder="1" applyAlignment="1">
      <alignment horizontal="left" vertical="center" wrapText="1"/>
    </xf>
    <xf numFmtId="3" fontId="22" fillId="5" borderId="12" xfId="2" applyNumberFormat="1" applyFont="1" applyFill="1" applyBorder="1" applyAlignment="1">
      <alignment horizontal="right" vertical="center"/>
    </xf>
    <xf numFmtId="0" fontId="28" fillId="6" borderId="22" xfId="4" applyFont="1" applyFill="1" applyBorder="1" applyAlignment="1">
      <alignment horizontal="center" vertical="center" wrapText="1"/>
    </xf>
    <xf numFmtId="0" fontId="27" fillId="6" borderId="18" xfId="4" applyFont="1" applyFill="1" applyBorder="1" applyAlignment="1">
      <alignment vertical="center" wrapText="1"/>
    </xf>
    <xf numFmtId="49" fontId="27" fillId="6" borderId="17" xfId="4" applyNumberFormat="1" applyFont="1" applyFill="1" applyBorder="1" applyAlignment="1">
      <alignment horizontal="center" vertical="center" wrapText="1"/>
    </xf>
    <xf numFmtId="3" fontId="25" fillId="0" borderId="17" xfId="2" applyNumberFormat="1" applyFont="1" applyBorder="1" applyAlignment="1">
      <alignment horizontal="right" vertical="center"/>
    </xf>
    <xf numFmtId="3" fontId="27" fillId="6" borderId="17" xfId="2" applyNumberFormat="1" applyFont="1" applyFill="1" applyBorder="1" applyAlignment="1">
      <alignment horizontal="right" vertical="center"/>
    </xf>
    <xf numFmtId="3" fontId="27" fillId="6" borderId="34" xfId="2" applyNumberFormat="1" applyFont="1" applyFill="1" applyBorder="1" applyAlignment="1">
      <alignment horizontal="right" vertical="center"/>
    </xf>
    <xf numFmtId="0" fontId="6" fillId="0" borderId="15" xfId="4" quotePrefix="1" applyFont="1" applyBorder="1" applyAlignment="1">
      <alignment horizontal="left" vertical="center" wrapText="1"/>
    </xf>
    <xf numFmtId="0" fontId="19" fillId="4" borderId="8" xfId="4" applyFont="1" applyFill="1" applyBorder="1" applyAlignment="1">
      <alignment horizontal="center" vertical="center" wrapText="1"/>
    </xf>
    <xf numFmtId="0" fontId="19" fillId="4" borderId="7" xfId="4" applyFont="1" applyFill="1" applyBorder="1" applyAlignment="1">
      <alignment vertical="center" wrapText="1"/>
    </xf>
    <xf numFmtId="0" fontId="26" fillId="5" borderId="12" xfId="4" applyFont="1" applyFill="1" applyBorder="1" applyAlignment="1">
      <alignment horizontal="left" vertical="center" wrapText="1"/>
    </xf>
    <xf numFmtId="0" fontId="28" fillId="6" borderId="25" xfId="4" applyFont="1" applyFill="1" applyBorder="1" applyAlignment="1">
      <alignment horizontal="center" vertical="center" wrapText="1"/>
    </xf>
    <xf numFmtId="0" fontId="23" fillId="0" borderId="20" xfId="4" applyFont="1" applyBorder="1" applyAlignment="1">
      <alignment vertical="center" wrapText="1"/>
    </xf>
    <xf numFmtId="0" fontId="27" fillId="6" borderId="6" xfId="4" applyFont="1" applyFill="1" applyBorder="1" applyAlignment="1">
      <alignment vertical="center" wrapText="1"/>
    </xf>
    <xf numFmtId="0" fontId="26" fillId="5" borderId="6" xfId="4" applyFont="1" applyFill="1" applyBorder="1" applyAlignment="1">
      <alignment horizontal="left" vertical="center" wrapText="1"/>
    </xf>
    <xf numFmtId="0" fontId="19" fillId="4" borderId="9" xfId="4" applyFont="1" applyFill="1" applyBorder="1" applyAlignment="1">
      <alignment horizontal="center" vertical="center" wrapText="1"/>
    </xf>
    <xf numFmtId="0" fontId="20" fillId="5" borderId="3" xfId="4" applyFont="1" applyFill="1" applyBorder="1" applyAlignment="1">
      <alignment horizontal="left" vertical="center" wrapText="1"/>
    </xf>
    <xf numFmtId="0" fontId="20" fillId="6" borderId="17" xfId="4" applyFont="1" applyFill="1" applyBorder="1" applyAlignment="1">
      <alignment vertical="center" wrapText="1"/>
    </xf>
    <xf numFmtId="0" fontId="23" fillId="6" borderId="24" xfId="4" applyFont="1" applyFill="1" applyBorder="1" applyAlignment="1">
      <alignment vertical="center" wrapText="1"/>
    </xf>
    <xf numFmtId="0" fontId="20" fillId="6" borderId="6" xfId="4" applyFont="1" applyFill="1" applyBorder="1" applyAlignment="1">
      <alignment vertical="center" wrapText="1"/>
    </xf>
    <xf numFmtId="0" fontId="23" fillId="6" borderId="29" xfId="4" applyFont="1" applyFill="1" applyBorder="1" applyAlignment="1">
      <alignment vertical="center" wrapText="1"/>
    </xf>
    <xf numFmtId="0" fontId="23" fillId="6" borderId="6" xfId="4" applyFont="1" applyFill="1" applyBorder="1" applyAlignment="1">
      <alignment horizontal="center" vertical="center" wrapText="1"/>
    </xf>
    <xf numFmtId="0" fontId="20" fillId="6" borderId="3" xfId="4" applyFont="1" applyFill="1" applyBorder="1" applyAlignment="1">
      <alignment vertical="center" wrapText="1"/>
    </xf>
    <xf numFmtId="0" fontId="23" fillId="6" borderId="13" xfId="4" applyFont="1" applyFill="1" applyBorder="1" applyAlignment="1">
      <alignment vertical="center" wrapText="1"/>
    </xf>
    <xf numFmtId="0" fontId="23" fillId="6" borderId="27" xfId="4" applyFont="1" applyFill="1" applyBorder="1" applyAlignment="1">
      <alignment horizontal="center" vertical="center" wrapText="1"/>
    </xf>
    <xf numFmtId="0" fontId="20" fillId="6" borderId="12" xfId="4" applyFont="1" applyFill="1" applyBorder="1" applyAlignment="1">
      <alignment vertical="center" wrapText="1"/>
    </xf>
    <xf numFmtId="0" fontId="23" fillId="6" borderId="19" xfId="4" applyFont="1" applyFill="1" applyBorder="1" applyAlignment="1">
      <alignment vertical="center" wrapText="1"/>
    </xf>
    <xf numFmtId="0" fontId="23" fillId="6" borderId="18" xfId="4" applyFont="1" applyFill="1" applyBorder="1" applyAlignment="1">
      <alignment vertical="center" wrapText="1"/>
    </xf>
    <xf numFmtId="0" fontId="23" fillId="6" borderId="14" xfId="4" applyFont="1" applyFill="1" applyBorder="1" applyAlignment="1">
      <alignment horizontal="center" vertical="center" wrapText="1"/>
    </xf>
    <xf numFmtId="0" fontId="20" fillId="6" borderId="15" xfId="4" applyFont="1" applyFill="1" applyBorder="1" applyAlignment="1">
      <alignment vertical="center" wrapText="1"/>
    </xf>
    <xf numFmtId="0" fontId="23" fillId="6" borderId="20" xfId="4" applyFont="1" applyFill="1" applyBorder="1" applyAlignment="1">
      <alignment vertical="center" wrapText="1"/>
    </xf>
    <xf numFmtId="0" fontId="23" fillId="6" borderId="19" xfId="4" applyFont="1" applyFill="1" applyBorder="1" applyAlignment="1">
      <alignment horizontal="center" vertical="center" wrapText="1"/>
    </xf>
    <xf numFmtId="0" fontId="20" fillId="5" borderId="14" xfId="4" applyFont="1" applyFill="1" applyBorder="1" applyAlignment="1">
      <alignment horizontal="center" vertical="center" wrapText="1"/>
    </xf>
    <xf numFmtId="0" fontId="23" fillId="6" borderId="21" xfId="4" applyFont="1" applyFill="1" applyBorder="1" applyAlignment="1">
      <alignment horizontal="left" vertical="center" wrapText="1"/>
    </xf>
    <xf numFmtId="0" fontId="23" fillId="6" borderId="20" xfId="4" applyFont="1" applyFill="1" applyBorder="1" applyAlignment="1">
      <alignment horizontal="left" vertical="center" wrapText="1"/>
    </xf>
    <xf numFmtId="0" fontId="23" fillId="6" borderId="28" xfId="4" applyFont="1" applyFill="1" applyBorder="1" applyAlignment="1">
      <alignment horizontal="left" vertical="center" wrapText="1"/>
    </xf>
    <xf numFmtId="0" fontId="23" fillId="6" borderId="34" xfId="4" applyFont="1" applyFill="1" applyBorder="1" applyAlignment="1">
      <alignment horizontal="left" vertical="center" wrapText="1"/>
    </xf>
    <xf numFmtId="0" fontId="20" fillId="5" borderId="14" xfId="4" applyFont="1" applyFill="1" applyBorder="1" applyAlignment="1">
      <alignment horizontal="left" vertical="center" wrapText="1"/>
    </xf>
    <xf numFmtId="0" fontId="23" fillId="6" borderId="34" xfId="4" applyFont="1" applyFill="1" applyBorder="1" applyAlignment="1">
      <alignment vertical="center" wrapText="1"/>
    </xf>
    <xf numFmtId="0" fontId="3" fillId="8" borderId="0" xfId="2" applyFill="1"/>
    <xf numFmtId="0" fontId="3" fillId="4" borderId="0" xfId="2" applyFill="1"/>
    <xf numFmtId="0" fontId="20" fillId="6" borderId="17" xfId="4" applyFont="1" applyFill="1" applyBorder="1" applyAlignment="1">
      <alignment horizontal="left" vertical="center" wrapText="1"/>
    </xf>
    <xf numFmtId="0" fontId="20" fillId="6" borderId="12" xfId="4" applyFont="1" applyFill="1" applyBorder="1" applyAlignment="1">
      <alignment horizontal="left" vertical="center" wrapText="1"/>
    </xf>
    <xf numFmtId="0" fontId="20" fillId="6" borderId="6" xfId="4" applyFont="1" applyFill="1" applyBorder="1" applyAlignment="1">
      <alignment horizontal="left" vertical="center" wrapText="1"/>
    </xf>
    <xf numFmtId="0" fontId="23" fillId="6" borderId="30" xfId="4" applyFont="1" applyFill="1" applyBorder="1" applyAlignment="1">
      <alignment horizontal="center" vertical="center" wrapText="1"/>
    </xf>
    <xf numFmtId="0" fontId="26" fillId="0" borderId="23" xfId="4" applyFont="1" applyBorder="1" applyAlignment="1">
      <alignment horizontal="left" vertical="center" wrapText="1"/>
    </xf>
    <xf numFmtId="0" fontId="27" fillId="0" borderId="28" xfId="2" applyFont="1" applyBorder="1" applyAlignment="1">
      <alignment vertical="center" wrapText="1"/>
    </xf>
    <xf numFmtId="0" fontId="27" fillId="0" borderId="12" xfId="4" applyFont="1" applyBorder="1" applyAlignment="1">
      <alignment horizontal="center" vertical="center" wrapText="1"/>
    </xf>
    <xf numFmtId="0" fontId="36" fillId="0" borderId="0" xfId="2" applyFont="1"/>
    <xf numFmtId="0" fontId="36" fillId="6" borderId="0" xfId="2" applyFont="1" applyFill="1"/>
    <xf numFmtId="0" fontId="36" fillId="8" borderId="0" xfId="2" applyFont="1" applyFill="1"/>
    <xf numFmtId="0" fontId="36" fillId="4" borderId="0" xfId="2" applyFont="1" applyFill="1"/>
    <xf numFmtId="3" fontId="36" fillId="0" borderId="0" xfId="2" applyNumberFormat="1" applyFont="1"/>
    <xf numFmtId="0" fontId="48" fillId="3" borderId="2" xfId="4" applyFont="1" applyFill="1" applyBorder="1" applyAlignment="1">
      <alignment horizontal="center" vertical="center" wrapText="1"/>
    </xf>
    <xf numFmtId="0" fontId="48" fillId="3" borderId="9" xfId="4" applyFont="1" applyFill="1" applyBorder="1" applyAlignment="1">
      <alignment horizontal="center" vertical="center" wrapText="1"/>
    </xf>
    <xf numFmtId="0" fontId="48" fillId="3" borderId="10" xfId="4" applyFont="1" applyFill="1" applyBorder="1" applyAlignment="1">
      <alignment vertical="center" wrapText="1"/>
    </xf>
    <xf numFmtId="0" fontId="16" fillId="3" borderId="2" xfId="4" applyFont="1" applyFill="1" applyBorder="1" applyAlignment="1">
      <alignment vertical="center" wrapText="1"/>
    </xf>
    <xf numFmtId="0" fontId="37" fillId="0" borderId="3" xfId="4" applyFont="1" applyBorder="1" applyAlignment="1">
      <alignment vertical="center" wrapText="1"/>
    </xf>
    <xf numFmtId="0" fontId="19" fillId="4" borderId="10" xfId="4" applyFont="1" applyFill="1" applyBorder="1" applyAlignment="1">
      <alignment horizontal="left" vertical="center" wrapText="1"/>
    </xf>
    <xf numFmtId="0" fontId="19" fillId="4" borderId="2" xfId="4" applyFont="1" applyFill="1" applyBorder="1" applyAlignment="1">
      <alignment horizontal="left" vertical="center" wrapText="1"/>
    </xf>
    <xf numFmtId="0" fontId="37" fillId="0" borderId="12" xfId="4" applyFont="1" applyBorder="1" applyAlignment="1">
      <alignment vertical="center" wrapText="1"/>
    </xf>
    <xf numFmtId="0" fontId="20" fillId="5" borderId="12" xfId="4" applyFont="1" applyFill="1" applyBorder="1" applyAlignment="1">
      <alignment horizontal="left" vertical="center" wrapText="1"/>
    </xf>
    <xf numFmtId="0" fontId="23" fillId="0" borderId="19" xfId="4" applyFont="1" applyBorder="1" applyAlignment="1">
      <alignment vertical="center" wrapText="1"/>
    </xf>
    <xf numFmtId="0" fontId="23" fillId="6" borderId="23" xfId="4" applyFont="1" applyFill="1" applyBorder="1" applyAlignment="1">
      <alignment horizontal="left" vertical="center" wrapText="1"/>
    </xf>
    <xf numFmtId="0" fontId="37" fillId="0" borderId="6" xfId="4" applyFont="1" applyBorder="1" applyAlignment="1">
      <alignment vertical="center" wrapText="1"/>
    </xf>
    <xf numFmtId="0" fontId="20" fillId="5" borderId="30" xfId="4" applyFont="1" applyFill="1" applyBorder="1" applyAlignment="1">
      <alignment horizontal="left" vertical="center" wrapText="1"/>
    </xf>
    <xf numFmtId="0" fontId="40" fillId="4" borderId="8" xfId="4" applyFont="1" applyFill="1" applyBorder="1" applyAlignment="1">
      <alignment horizontal="center" vertical="center" wrapText="1"/>
    </xf>
    <xf numFmtId="0" fontId="40" fillId="4" borderId="6" xfId="4" applyFont="1" applyFill="1" applyBorder="1" applyAlignment="1">
      <alignment horizontal="left" vertical="center" wrapText="1"/>
    </xf>
    <xf numFmtId="3" fontId="18" fillId="4" borderId="12" xfId="2" applyNumberFormat="1" applyFont="1" applyFill="1" applyBorder="1" applyAlignment="1">
      <alignment horizontal="right" vertical="center"/>
    </xf>
    <xf numFmtId="0" fontId="34" fillId="5" borderId="12" xfId="4" applyFont="1" applyFill="1" applyBorder="1" applyAlignment="1">
      <alignment horizontal="left" vertical="center" wrapText="1"/>
    </xf>
    <xf numFmtId="3" fontId="22" fillId="5" borderId="4" xfId="2" applyNumberFormat="1" applyFont="1" applyFill="1" applyBorder="1" applyAlignment="1">
      <alignment horizontal="right" vertical="center"/>
    </xf>
    <xf numFmtId="0" fontId="34" fillId="6" borderId="25" xfId="4" applyFont="1" applyFill="1" applyBorder="1" applyAlignment="1">
      <alignment vertical="center" wrapText="1"/>
    </xf>
    <xf numFmtId="0" fontId="29" fillId="0" borderId="19" xfId="4" applyFont="1" applyBorder="1" applyAlignment="1">
      <alignment vertical="center" wrapText="1"/>
    </xf>
    <xf numFmtId="49" fontId="29" fillId="6" borderId="19" xfId="2" applyNumberFormat="1" applyFont="1" applyFill="1" applyBorder="1" applyAlignment="1">
      <alignment horizontal="center" vertical="center" wrapText="1"/>
    </xf>
    <xf numFmtId="0" fontId="23" fillId="0" borderId="17" xfId="4" applyFont="1" applyBorder="1" applyAlignment="1">
      <alignment horizontal="left" vertical="center" wrapText="1"/>
    </xf>
    <xf numFmtId="0" fontId="23" fillId="0" borderId="14" xfId="4" applyFont="1" applyBorder="1" applyAlignment="1">
      <alignment horizontal="left" vertical="center" wrapText="1"/>
    </xf>
    <xf numFmtId="0" fontId="23" fillId="0" borderId="25" xfId="2" applyFont="1" applyBorder="1" applyAlignment="1">
      <alignment horizontal="left" vertical="center" wrapText="1"/>
    </xf>
    <xf numFmtId="0" fontId="23" fillId="6" borderId="25" xfId="4" applyFont="1" applyFill="1" applyBorder="1" applyAlignment="1">
      <alignment horizontal="left" vertical="center" wrapText="1"/>
    </xf>
    <xf numFmtId="0" fontId="20" fillId="6" borderId="14" xfId="4" applyFont="1" applyFill="1" applyBorder="1" applyAlignment="1">
      <alignment vertical="center" wrapText="1"/>
    </xf>
    <xf numFmtId="0" fontId="23" fillId="6" borderId="16" xfId="4" applyFont="1" applyFill="1" applyBorder="1" applyAlignment="1">
      <alignment horizontal="left" vertical="center" wrapText="1"/>
    </xf>
    <xf numFmtId="49" fontId="20" fillId="5" borderId="6" xfId="4" applyNumberFormat="1" applyFont="1" applyFill="1" applyBorder="1" applyAlignment="1">
      <alignment horizontal="center" vertical="center" wrapText="1"/>
    </xf>
    <xf numFmtId="49" fontId="20" fillId="5" borderId="27" xfId="4" applyNumberFormat="1" applyFont="1" applyFill="1" applyBorder="1" applyAlignment="1">
      <alignment horizontal="center" vertical="center" wrapText="1"/>
    </xf>
    <xf numFmtId="0" fontId="20" fillId="0" borderId="17" xfId="4" applyFont="1" applyBorder="1" applyAlignment="1">
      <alignment vertical="center" wrapText="1"/>
    </xf>
    <xf numFmtId="49" fontId="23" fillId="0" borderId="19" xfId="4" applyNumberFormat="1" applyFont="1" applyBorder="1" applyAlignment="1">
      <alignment horizontal="center" vertical="center" wrapText="1"/>
    </xf>
    <xf numFmtId="0" fontId="20" fillId="0" borderId="12" xfId="4" applyFont="1" applyBorder="1" applyAlignment="1">
      <alignment vertical="center" wrapText="1"/>
    </xf>
    <xf numFmtId="49" fontId="23" fillId="6" borderId="14" xfId="4" applyNumberFormat="1" applyFont="1" applyFill="1" applyBorder="1" applyAlignment="1">
      <alignment horizontal="center" vertical="center" wrapText="1"/>
    </xf>
    <xf numFmtId="49" fontId="23" fillId="6" borderId="12" xfId="4" applyNumberFormat="1" applyFont="1" applyFill="1" applyBorder="1" applyAlignment="1">
      <alignment horizontal="center" vertical="center" wrapText="1"/>
    </xf>
    <xf numFmtId="0" fontId="23" fillId="6" borderId="25" xfId="4" applyFont="1" applyFill="1" applyBorder="1" applyAlignment="1">
      <alignment vertical="center" wrapText="1"/>
    </xf>
    <xf numFmtId="49" fontId="23" fillId="0" borderId="17" xfId="4" applyNumberFormat="1" applyFont="1" applyBorder="1" applyAlignment="1">
      <alignment horizontal="center" vertical="center" wrapText="1"/>
    </xf>
    <xf numFmtId="0" fontId="23" fillId="6" borderId="22" xfId="4" applyFont="1" applyFill="1" applyBorder="1" applyAlignment="1">
      <alignment vertical="center" wrapText="1"/>
    </xf>
    <xf numFmtId="0" fontId="23" fillId="0" borderId="19" xfId="4" applyFont="1" applyBorder="1" applyAlignment="1">
      <alignment horizontal="left" vertical="center" wrapText="1"/>
    </xf>
    <xf numFmtId="0" fontId="23" fillId="6" borderId="19" xfId="4" applyFont="1" applyFill="1" applyBorder="1" applyAlignment="1">
      <alignment horizontal="left" vertical="center" wrapText="1"/>
    </xf>
    <xf numFmtId="49" fontId="23" fillId="6" borderId="17" xfId="4" applyNumberFormat="1" applyFont="1" applyFill="1" applyBorder="1" applyAlignment="1">
      <alignment horizontal="center" vertical="center" wrapText="1"/>
    </xf>
    <xf numFmtId="0" fontId="23" fillId="6" borderId="14" xfId="4" applyFont="1" applyFill="1" applyBorder="1" applyAlignment="1">
      <alignment horizontal="left" vertical="center" wrapText="1"/>
    </xf>
    <xf numFmtId="0" fontId="48" fillId="0" borderId="12" xfId="4" applyFont="1" applyBorder="1" applyAlignment="1">
      <alignment vertical="center" wrapText="1"/>
    </xf>
    <xf numFmtId="0" fontId="20" fillId="0" borderId="14" xfId="4" applyFont="1" applyBorder="1" applyAlignment="1">
      <alignment vertical="center" wrapText="1"/>
    </xf>
    <xf numFmtId="0" fontId="23" fillId="6" borderId="14" xfId="4" quotePrefix="1" applyFont="1" applyFill="1" applyBorder="1" applyAlignment="1">
      <alignment horizontal="left" vertical="center" wrapText="1"/>
    </xf>
    <xf numFmtId="0" fontId="20" fillId="0" borderId="15" xfId="4" applyFont="1" applyBorder="1" applyAlignment="1">
      <alignment horizontal="center" vertical="center" wrapText="1"/>
    </xf>
    <xf numFmtId="49" fontId="20" fillId="5" borderId="30" xfId="4" applyNumberFormat="1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horizontal="left" vertical="center" wrapText="1"/>
    </xf>
    <xf numFmtId="0" fontId="23" fillId="6" borderId="40" xfId="4" applyFont="1" applyFill="1" applyBorder="1" applyAlignment="1">
      <alignment horizontal="left" vertical="center" wrapText="1"/>
    </xf>
    <xf numFmtId="0" fontId="23" fillId="6" borderId="25" xfId="2" applyFont="1" applyFill="1" applyBorder="1" applyAlignment="1">
      <alignment vertical="center" wrapText="1"/>
    </xf>
    <xf numFmtId="0" fontId="40" fillId="4" borderId="9" xfId="4" applyFont="1" applyFill="1" applyBorder="1" applyAlignment="1">
      <alignment horizontal="center" vertical="center" wrapText="1"/>
    </xf>
    <xf numFmtId="0" fontId="40" fillId="4" borderId="10" xfId="4" applyFont="1" applyFill="1" applyBorder="1" applyAlignment="1">
      <alignment vertical="center" wrapText="1"/>
    </xf>
    <xf numFmtId="0" fontId="40" fillId="4" borderId="2" xfId="4" applyFont="1" applyFill="1" applyBorder="1" applyAlignment="1">
      <alignment vertical="center" wrapText="1"/>
    </xf>
    <xf numFmtId="3" fontId="18" fillId="4" borderId="3" xfId="2" applyNumberFormat="1" applyFont="1" applyFill="1" applyBorder="1" applyAlignment="1">
      <alignment horizontal="right" vertical="center"/>
    </xf>
    <xf numFmtId="0" fontId="40" fillId="6" borderId="25" xfId="4" applyFont="1" applyFill="1" applyBorder="1" applyAlignment="1">
      <alignment horizontal="center" vertical="center" wrapText="1"/>
    </xf>
    <xf numFmtId="0" fontId="29" fillId="6" borderId="20" xfId="4" applyFont="1" applyFill="1" applyBorder="1" applyAlignment="1">
      <alignment horizontal="left" vertical="center" wrapText="1"/>
    </xf>
    <xf numFmtId="49" fontId="29" fillId="6" borderId="19" xfId="4" applyNumberFormat="1" applyFont="1" applyFill="1" applyBorder="1" applyAlignment="1">
      <alignment horizontal="center" vertical="center" wrapText="1"/>
    </xf>
    <xf numFmtId="0" fontId="20" fillId="5" borderId="27" xfId="4" applyFont="1" applyFill="1" applyBorder="1" applyAlignment="1">
      <alignment horizontal="left" vertical="center" wrapText="1"/>
    </xf>
    <xf numFmtId="10" fontId="23" fillId="5" borderId="14" xfId="1" applyNumberFormat="1" applyFont="1" applyFill="1" applyBorder="1" applyAlignment="1">
      <alignment horizontal="right" vertical="center"/>
    </xf>
    <xf numFmtId="0" fontId="49" fillId="6" borderId="22" xfId="2" applyFont="1" applyFill="1" applyBorder="1" applyAlignment="1">
      <alignment vertical="center" wrapText="1"/>
    </xf>
    <xf numFmtId="49" fontId="27" fillId="0" borderId="19" xfId="2" applyNumberFormat="1" applyFont="1" applyBorder="1" applyAlignment="1">
      <alignment horizontal="center" vertical="center" wrapText="1"/>
    </xf>
    <xf numFmtId="0" fontId="49" fillId="6" borderId="12" xfId="2" applyFont="1" applyFill="1" applyBorder="1" applyAlignment="1">
      <alignment vertical="center" wrapText="1"/>
    </xf>
    <xf numFmtId="0" fontId="49" fillId="6" borderId="23" xfId="2" applyFont="1" applyFill="1" applyBorder="1" applyAlignment="1">
      <alignment vertical="center" wrapText="1"/>
    </xf>
    <xf numFmtId="49" fontId="23" fillId="0" borderId="14" xfId="2" applyNumberFormat="1" applyFont="1" applyBorder="1" applyAlignment="1">
      <alignment horizontal="center" vertical="center" wrapText="1"/>
    </xf>
    <xf numFmtId="0" fontId="23" fillId="0" borderId="19" xfId="2" quotePrefix="1" applyFont="1" applyBorder="1" applyAlignment="1">
      <alignment vertical="center" wrapText="1"/>
    </xf>
    <xf numFmtId="0" fontId="23" fillId="0" borderId="30" xfId="4" quotePrefix="1" applyFont="1" applyBorder="1" applyAlignment="1">
      <alignment horizontal="left" vertical="center" wrapText="1"/>
    </xf>
    <xf numFmtId="49" fontId="23" fillId="0" borderId="30" xfId="4" applyNumberFormat="1" applyFont="1" applyBorder="1" applyAlignment="1">
      <alignment horizontal="center" vertical="center" wrapText="1"/>
    </xf>
    <xf numFmtId="0" fontId="12" fillId="9" borderId="2" xfId="4" applyFont="1" applyFill="1" applyBorder="1" applyAlignment="1">
      <alignment horizontal="center" vertical="center" wrapText="1"/>
    </xf>
    <xf numFmtId="0" fontId="12" fillId="9" borderId="9" xfId="4" applyFont="1" applyFill="1" applyBorder="1" applyAlignment="1">
      <alignment horizontal="center" vertical="center" wrapText="1"/>
    </xf>
    <xf numFmtId="0" fontId="12" fillId="9" borderId="10" xfId="4" applyFont="1" applyFill="1" applyBorder="1" applyAlignment="1">
      <alignment vertical="center" wrapText="1"/>
    </xf>
    <xf numFmtId="0" fontId="12" fillId="9" borderId="2" xfId="4" applyFont="1" applyFill="1" applyBorder="1" applyAlignment="1">
      <alignment vertical="center" wrapText="1"/>
    </xf>
    <xf numFmtId="3" fontId="17" fillId="9" borderId="2" xfId="2" applyNumberFormat="1" applyFont="1" applyFill="1" applyBorder="1" applyAlignment="1">
      <alignment horizontal="right" vertical="center"/>
    </xf>
    <xf numFmtId="3" fontId="17" fillId="9" borderId="10" xfId="2" applyNumberFormat="1" applyFont="1" applyFill="1" applyBorder="1" applyAlignment="1">
      <alignment horizontal="right" vertical="center"/>
    </xf>
    <xf numFmtId="0" fontId="11" fillId="0" borderId="12" xfId="4" applyFont="1" applyBorder="1" applyAlignment="1">
      <alignment vertical="center" wrapText="1"/>
    </xf>
    <xf numFmtId="0" fontId="31" fillId="4" borderId="8" xfId="4" applyFont="1" applyFill="1" applyBorder="1" applyAlignment="1">
      <alignment horizontal="center" vertical="center" wrapText="1"/>
    </xf>
    <xf numFmtId="0" fontId="31" fillId="4" borderId="7" xfId="4" applyFont="1" applyFill="1" applyBorder="1" applyAlignment="1">
      <alignment vertical="center" wrapText="1"/>
    </xf>
    <xf numFmtId="0" fontId="31" fillId="4" borderId="6" xfId="4" applyFont="1" applyFill="1" applyBorder="1" applyAlignment="1">
      <alignment vertical="center" wrapText="1"/>
    </xf>
    <xf numFmtId="3" fontId="32" fillId="4" borderId="12" xfId="2" applyNumberFormat="1" applyFont="1" applyFill="1" applyBorder="1" applyAlignment="1">
      <alignment horizontal="right" vertical="center"/>
    </xf>
    <xf numFmtId="3" fontId="32" fillId="4" borderId="28" xfId="2" applyNumberFormat="1" applyFont="1" applyFill="1" applyBorder="1" applyAlignment="1">
      <alignment horizontal="right" vertical="center"/>
    </xf>
    <xf numFmtId="0" fontId="33" fillId="5" borderId="3" xfId="4" applyFont="1" applyFill="1" applyBorder="1" applyAlignment="1">
      <alignment horizontal="left" vertical="center" wrapText="1"/>
    </xf>
    <xf numFmtId="0" fontId="6" fillId="5" borderId="18" xfId="4" applyFont="1" applyFill="1" applyBorder="1" applyAlignment="1">
      <alignment horizontal="left" vertical="center" wrapText="1"/>
    </xf>
    <xf numFmtId="49" fontId="6" fillId="5" borderId="17" xfId="4" applyNumberFormat="1" applyFont="1" applyFill="1" applyBorder="1" applyAlignment="1">
      <alignment horizontal="center" vertical="center" wrapText="1"/>
    </xf>
    <xf numFmtId="3" fontId="35" fillId="5" borderId="17" xfId="2" applyNumberFormat="1" applyFont="1" applyFill="1" applyBorder="1" applyAlignment="1">
      <alignment horizontal="right" vertical="center"/>
    </xf>
    <xf numFmtId="3" fontId="6" fillId="5" borderId="19" xfId="2" applyNumberFormat="1" applyFont="1" applyFill="1" applyBorder="1" applyAlignment="1">
      <alignment horizontal="right" vertical="center"/>
    </xf>
    <xf numFmtId="3" fontId="6" fillId="5" borderId="20" xfId="2" applyNumberFormat="1" applyFont="1" applyFill="1" applyBorder="1" applyAlignment="1">
      <alignment horizontal="right" vertical="center"/>
    </xf>
    <xf numFmtId="0" fontId="6" fillId="5" borderId="17" xfId="4" applyFont="1" applyFill="1" applyBorder="1" applyAlignment="1">
      <alignment horizontal="center" vertical="center" wrapText="1"/>
    </xf>
    <xf numFmtId="3" fontId="6" fillId="5" borderId="17" xfId="2" applyNumberFormat="1" applyFont="1" applyFill="1" applyBorder="1" applyAlignment="1">
      <alignment horizontal="right" vertical="center"/>
    </xf>
    <xf numFmtId="3" fontId="6" fillId="5" borderId="34" xfId="2" applyNumberFormat="1" applyFont="1" applyFill="1" applyBorder="1" applyAlignment="1">
      <alignment horizontal="right" vertical="center"/>
    </xf>
    <xf numFmtId="0" fontId="33" fillId="5" borderId="19" xfId="4" applyFont="1" applyFill="1" applyBorder="1" applyAlignment="1">
      <alignment horizontal="left" vertical="center" wrapText="1"/>
    </xf>
    <xf numFmtId="0" fontId="33" fillId="0" borderId="22" xfId="4" applyFont="1" applyBorder="1" applyAlignment="1">
      <alignment vertical="center" wrapText="1"/>
    </xf>
    <xf numFmtId="0" fontId="6" fillId="0" borderId="21" xfId="4" applyFont="1" applyBorder="1" applyAlignment="1">
      <alignment horizontal="left" vertical="center" wrapText="1"/>
    </xf>
    <xf numFmtId="0" fontId="6" fillId="0" borderId="19" xfId="4" applyFont="1" applyBorder="1" applyAlignment="1">
      <alignment horizontal="center" vertical="center" wrapText="1"/>
    </xf>
    <xf numFmtId="10" fontId="32" fillId="0" borderId="25" xfId="1" applyNumberFormat="1" applyFont="1" applyFill="1" applyBorder="1" applyAlignment="1">
      <alignment horizontal="left" vertical="center"/>
    </xf>
    <xf numFmtId="0" fontId="33" fillId="0" borderId="14" xfId="4" applyFont="1" applyBorder="1" applyAlignment="1">
      <alignment vertical="center" wrapText="1"/>
    </xf>
    <xf numFmtId="0" fontId="33" fillId="0" borderId="8" xfId="4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6" xfId="4" applyFont="1" applyBorder="1" applyAlignment="1">
      <alignment horizontal="center" vertical="center" wrapText="1"/>
    </xf>
    <xf numFmtId="3" fontId="35" fillId="0" borderId="6" xfId="3" applyNumberFormat="1" applyFont="1" applyFill="1" applyBorder="1" applyAlignment="1">
      <alignment horizontal="right" vertical="center"/>
    </xf>
    <xf numFmtId="0" fontId="45" fillId="4" borderId="8" xfId="4" applyFont="1" applyFill="1" applyBorder="1" applyAlignment="1">
      <alignment horizontal="center" vertical="center" wrapText="1"/>
    </xf>
    <xf numFmtId="0" fontId="45" fillId="4" borderId="7" xfId="4" applyFont="1" applyFill="1" applyBorder="1" applyAlignment="1">
      <alignment vertical="center" wrapText="1"/>
    </xf>
    <xf numFmtId="0" fontId="45" fillId="4" borderId="6" xfId="4" applyFont="1" applyFill="1" applyBorder="1" applyAlignment="1">
      <alignment vertical="center" wrapText="1"/>
    </xf>
    <xf numFmtId="3" fontId="32" fillId="4" borderId="12" xfId="3" applyNumberFormat="1" applyFont="1" applyFill="1" applyBorder="1" applyAlignment="1">
      <alignment horizontal="right" vertical="center"/>
    </xf>
    <xf numFmtId="3" fontId="6" fillId="4" borderId="19" xfId="2" applyNumberFormat="1" applyFont="1" applyFill="1" applyBorder="1" applyAlignment="1">
      <alignment horizontal="right" vertical="center"/>
    </xf>
    <xf numFmtId="3" fontId="6" fillId="4" borderId="20" xfId="2" applyNumberFormat="1" applyFont="1" applyFill="1" applyBorder="1" applyAlignment="1">
      <alignment horizontal="right" vertical="center"/>
    </xf>
    <xf numFmtId="3" fontId="10" fillId="5" borderId="27" xfId="3" applyNumberFormat="1" applyFont="1" applyFill="1" applyBorder="1" applyAlignment="1">
      <alignment horizontal="right" vertical="center"/>
    </xf>
    <xf numFmtId="3" fontId="10" fillId="5" borderId="12" xfId="3" applyNumberFormat="1" applyFont="1" applyFill="1" applyBorder="1" applyAlignment="1">
      <alignment horizontal="right" vertical="center"/>
    </xf>
    <xf numFmtId="10" fontId="32" fillId="0" borderId="22" xfId="1" applyNumberFormat="1" applyFont="1" applyFill="1" applyBorder="1" applyAlignment="1">
      <alignment horizontal="left" vertical="center"/>
    </xf>
    <xf numFmtId="0" fontId="33" fillId="5" borderId="12" xfId="4" applyFont="1" applyFill="1" applyBorder="1" applyAlignment="1">
      <alignment horizontal="left" vertical="center" wrapText="1"/>
    </xf>
    <xf numFmtId="3" fontId="10" fillId="5" borderId="28" xfId="2" applyNumberFormat="1" applyFont="1" applyFill="1" applyBorder="1" applyAlignment="1">
      <alignment horizontal="right" vertical="center"/>
    </xf>
    <xf numFmtId="3" fontId="10" fillId="5" borderId="20" xfId="3" applyNumberFormat="1" applyFont="1" applyFill="1" applyBorder="1" applyAlignment="1">
      <alignment horizontal="right" vertical="center"/>
    </xf>
    <xf numFmtId="0" fontId="33" fillId="6" borderId="22" xfId="4" applyFont="1" applyFill="1" applyBorder="1" applyAlignment="1">
      <alignment horizontal="center" vertical="center" wrapText="1"/>
    </xf>
    <xf numFmtId="0" fontId="6" fillId="6" borderId="20" xfId="4" applyFont="1" applyFill="1" applyBorder="1" applyAlignment="1">
      <alignment horizontal="left" vertical="center" wrapText="1"/>
    </xf>
    <xf numFmtId="0" fontId="6" fillId="0" borderId="7" xfId="4" applyFont="1" applyBorder="1" applyAlignment="1">
      <alignment horizontal="left" vertical="center" wrapText="1"/>
    </xf>
    <xf numFmtId="0" fontId="16" fillId="0" borderId="12" xfId="4" applyFont="1" applyBorder="1" applyAlignment="1">
      <alignment vertical="center" wrapText="1"/>
    </xf>
    <xf numFmtId="3" fontId="18" fillId="4" borderId="3" xfId="3" applyNumberFormat="1" applyFont="1" applyFill="1" applyBorder="1" applyAlignment="1">
      <alignment horizontal="right" vertical="center"/>
    </xf>
    <xf numFmtId="3" fontId="22" fillId="5" borderId="3" xfId="3" applyNumberFormat="1" applyFont="1" applyFill="1" applyBorder="1" applyAlignment="1">
      <alignment horizontal="right" vertical="center"/>
    </xf>
    <xf numFmtId="0" fontId="26" fillId="5" borderId="19" xfId="4" applyFont="1" applyFill="1" applyBorder="1" applyAlignment="1">
      <alignment horizontal="left" vertical="center" wrapText="1"/>
    </xf>
    <xf numFmtId="3" fontId="27" fillId="4" borderId="19" xfId="2" applyNumberFormat="1" applyFont="1" applyFill="1" applyBorder="1" applyAlignment="1">
      <alignment horizontal="right" vertical="center"/>
    </xf>
    <xf numFmtId="3" fontId="27" fillId="4" borderId="20" xfId="2" applyNumberFormat="1" applyFont="1" applyFill="1" applyBorder="1" applyAlignment="1">
      <alignment horizontal="right" vertical="center"/>
    </xf>
    <xf numFmtId="0" fontId="26" fillId="0" borderId="8" xfId="4" applyFont="1" applyBorder="1" applyAlignment="1">
      <alignment horizontal="left" vertical="center" wrapText="1"/>
    </xf>
    <xf numFmtId="0" fontId="27" fillId="0" borderId="1" xfId="4" applyFont="1" applyBorder="1" applyAlignment="1">
      <alignment horizontal="left" vertical="center" wrapText="1"/>
    </xf>
    <xf numFmtId="0" fontId="27" fillId="0" borderId="6" xfId="4" applyFont="1" applyBorder="1" applyAlignment="1">
      <alignment horizontal="center" vertical="center" wrapText="1"/>
    </xf>
    <xf numFmtId="0" fontId="40" fillId="4" borderId="7" xfId="4" applyFont="1" applyFill="1" applyBorder="1" applyAlignment="1">
      <alignment vertical="center" wrapText="1"/>
    </xf>
    <xf numFmtId="0" fontId="29" fillId="6" borderId="24" xfId="4" applyFont="1" applyFill="1" applyBorder="1" applyAlignment="1">
      <alignment vertical="center" wrapText="1"/>
    </xf>
    <xf numFmtId="49" fontId="29" fillId="6" borderId="17" xfId="4" applyNumberFormat="1" applyFont="1" applyFill="1" applyBorder="1" applyAlignment="1">
      <alignment horizontal="center" vertical="center" wrapText="1"/>
    </xf>
    <xf numFmtId="3" fontId="25" fillId="0" borderId="17" xfId="3" applyNumberFormat="1" applyFont="1" applyFill="1" applyBorder="1" applyAlignment="1">
      <alignment horizontal="right" vertical="center"/>
    </xf>
    <xf numFmtId="3" fontId="22" fillId="5" borderId="17" xfId="3" applyNumberFormat="1" applyFont="1" applyFill="1" applyBorder="1" applyAlignment="1">
      <alignment horizontal="right" vertical="center"/>
    </xf>
    <xf numFmtId="0" fontId="3" fillId="0" borderId="32" xfId="2" applyBorder="1"/>
    <xf numFmtId="0" fontId="31" fillId="0" borderId="16" xfId="4" applyFont="1" applyBorder="1" applyAlignment="1">
      <alignment horizontal="center" vertical="center" wrapText="1"/>
    </xf>
    <xf numFmtId="0" fontId="6" fillId="0" borderId="24" xfId="4" applyFont="1" applyBorder="1" applyAlignment="1">
      <alignment vertical="center" wrapText="1"/>
    </xf>
    <xf numFmtId="0" fontId="31" fillId="0" borderId="23" xfId="4" applyFont="1" applyBorder="1" applyAlignment="1">
      <alignment horizontal="center" vertical="center" wrapText="1"/>
    </xf>
    <xf numFmtId="0" fontId="31" fillId="6" borderId="45" xfId="4" applyFont="1" applyFill="1" applyBorder="1" applyAlignment="1">
      <alignment vertical="center" wrapText="1"/>
    </xf>
    <xf numFmtId="0" fontId="6" fillId="0" borderId="43" xfId="4" applyFont="1" applyBorder="1" applyAlignment="1">
      <alignment vertical="center" wrapText="1"/>
    </xf>
    <xf numFmtId="0" fontId="6" fillId="6" borderId="19" xfId="4" quotePrefix="1" applyFont="1" applyFill="1" applyBorder="1" applyAlignment="1">
      <alignment horizontal="center" vertical="center" wrapText="1"/>
    </xf>
    <xf numFmtId="0" fontId="31" fillId="6" borderId="46" xfId="4" applyFont="1" applyFill="1" applyBorder="1" applyAlignment="1">
      <alignment vertical="center" wrapText="1"/>
    </xf>
    <xf numFmtId="0" fontId="31" fillId="6" borderId="12" xfId="4" applyFont="1" applyFill="1" applyBorder="1" applyAlignment="1">
      <alignment vertical="center" wrapText="1"/>
    </xf>
    <xf numFmtId="0" fontId="6" fillId="6" borderId="34" xfId="4" applyFont="1" applyFill="1" applyBorder="1" applyAlignment="1">
      <alignment vertical="center" wrapText="1"/>
    </xf>
    <xf numFmtId="0" fontId="6" fillId="6" borderId="17" xfId="4" quotePrefix="1" applyFont="1" applyFill="1" applyBorder="1" applyAlignment="1">
      <alignment horizontal="center" vertical="center" wrapText="1"/>
    </xf>
    <xf numFmtId="3" fontId="35" fillId="6" borderId="17" xfId="3" applyNumberFormat="1" applyFont="1" applyFill="1" applyBorder="1" applyAlignment="1">
      <alignment horizontal="right" vertical="center"/>
    </xf>
    <xf numFmtId="3" fontId="6" fillId="6" borderId="20" xfId="2" applyNumberFormat="1" applyFont="1" applyFill="1" applyBorder="1" applyAlignment="1">
      <alignment horizontal="right" vertical="center"/>
    </xf>
    <xf numFmtId="10" fontId="25" fillId="6" borderId="25" xfId="1" applyNumberFormat="1" applyFont="1" applyFill="1" applyBorder="1" applyAlignment="1">
      <alignment horizontal="left" vertical="center"/>
    </xf>
    <xf numFmtId="0" fontId="6" fillId="6" borderId="19" xfId="4" applyFont="1" applyFill="1" applyBorder="1" applyAlignment="1">
      <alignment vertical="center" wrapText="1"/>
    </xf>
    <xf numFmtId="3" fontId="35" fillId="6" borderId="19" xfId="3" applyNumberFormat="1" applyFont="1" applyFill="1" applyBorder="1" applyAlignment="1">
      <alignment horizontal="right" vertical="center"/>
    </xf>
    <xf numFmtId="0" fontId="31" fillId="6" borderId="15" xfId="4" applyFont="1" applyFill="1" applyBorder="1" applyAlignment="1">
      <alignment vertical="center" wrapText="1"/>
    </xf>
    <xf numFmtId="0" fontId="6" fillId="6" borderId="14" xfId="4" applyFont="1" applyFill="1" applyBorder="1" applyAlignment="1">
      <alignment vertical="center" wrapText="1"/>
    </xf>
    <xf numFmtId="0" fontId="6" fillId="6" borderId="12" xfId="4" applyFont="1" applyFill="1" applyBorder="1" applyAlignment="1">
      <alignment horizontal="center" vertical="center" wrapText="1"/>
    </xf>
    <xf numFmtId="3" fontId="35" fillId="6" borderId="12" xfId="3" applyNumberFormat="1" applyFont="1" applyFill="1" applyBorder="1" applyAlignment="1">
      <alignment horizontal="right" vertical="center"/>
    </xf>
    <xf numFmtId="10" fontId="25" fillId="6" borderId="16" xfId="1" applyNumberFormat="1" applyFont="1" applyFill="1" applyBorder="1" applyAlignment="1">
      <alignment horizontal="left" vertical="center"/>
    </xf>
    <xf numFmtId="0" fontId="28" fillId="6" borderId="47" xfId="4" applyFont="1" applyFill="1" applyBorder="1" applyAlignment="1">
      <alignment vertical="center" wrapText="1"/>
    </xf>
    <xf numFmtId="0" fontId="27" fillId="0" borderId="48" xfId="4" applyFont="1" applyBorder="1" applyAlignment="1">
      <alignment vertical="center" wrapText="1"/>
    </xf>
    <xf numFmtId="0" fontId="27" fillId="6" borderId="27" xfId="4" applyFont="1" applyFill="1" applyBorder="1" applyAlignment="1">
      <alignment horizontal="center" vertical="center" wrapText="1"/>
    </xf>
    <xf numFmtId="3" fontId="25" fillId="0" borderId="27" xfId="3" applyNumberFormat="1" applyFont="1" applyFill="1" applyBorder="1" applyAlignment="1">
      <alignment horizontal="right" vertical="center"/>
    </xf>
    <xf numFmtId="0" fontId="16" fillId="0" borderId="6" xfId="4" applyFont="1" applyBorder="1" applyAlignment="1">
      <alignment vertical="center" wrapText="1"/>
    </xf>
    <xf numFmtId="0" fontId="37" fillId="6" borderId="6" xfId="4" applyFont="1" applyFill="1" applyBorder="1" applyAlignment="1">
      <alignment vertical="center" wrapText="1"/>
    </xf>
    <xf numFmtId="0" fontId="28" fillId="6" borderId="1" xfId="4" applyFont="1" applyFill="1" applyBorder="1" applyAlignment="1">
      <alignment horizontal="center" vertical="center" wrapText="1"/>
    </xf>
    <xf numFmtId="0" fontId="27" fillId="0" borderId="50" xfId="4" applyFont="1" applyBorder="1" applyAlignment="1">
      <alignment vertical="center" wrapText="1"/>
    </xf>
    <xf numFmtId="0" fontId="27" fillId="6" borderId="6" xfId="4" applyFont="1" applyFill="1" applyBorder="1" applyAlignment="1">
      <alignment horizontal="center" vertical="center" wrapText="1"/>
    </xf>
    <xf numFmtId="0" fontId="11" fillId="6" borderId="3" xfId="4" applyFont="1" applyFill="1" applyBorder="1" applyAlignment="1">
      <alignment horizontal="center" vertical="center" wrapText="1"/>
    </xf>
    <xf numFmtId="0" fontId="11" fillId="6" borderId="12" xfId="4" applyFont="1" applyFill="1" applyBorder="1" applyAlignment="1">
      <alignment vertical="center" wrapText="1"/>
    </xf>
    <xf numFmtId="0" fontId="11" fillId="6" borderId="20" xfId="4" applyFont="1" applyFill="1" applyBorder="1" applyAlignment="1">
      <alignment vertical="center" wrapText="1"/>
    </xf>
    <xf numFmtId="0" fontId="6" fillId="0" borderId="19" xfId="4" applyFont="1" applyBorder="1" applyAlignment="1">
      <alignment vertical="center" wrapText="1"/>
    </xf>
    <xf numFmtId="0" fontId="37" fillId="6" borderId="12" xfId="4" applyFont="1" applyFill="1" applyBorder="1" applyAlignment="1">
      <alignment vertical="center" wrapText="1"/>
    </xf>
    <xf numFmtId="0" fontId="37" fillId="6" borderId="39" xfId="4" applyFont="1" applyFill="1" applyBorder="1" applyAlignment="1">
      <alignment vertical="center" wrapText="1"/>
    </xf>
    <xf numFmtId="0" fontId="29" fillId="0" borderId="43" xfId="4" applyFont="1" applyBorder="1" applyAlignment="1">
      <alignment vertical="center" wrapText="1"/>
    </xf>
    <xf numFmtId="0" fontId="29" fillId="6" borderId="19" xfId="4" applyFont="1" applyFill="1" applyBorder="1" applyAlignment="1">
      <alignment horizontal="center" vertical="center" wrapText="1"/>
    </xf>
    <xf numFmtId="3" fontId="3" fillId="0" borderId="12" xfId="3" applyNumberFormat="1" applyFont="1" applyBorder="1"/>
    <xf numFmtId="0" fontId="34" fillId="5" borderId="30" xfId="4" applyFont="1" applyFill="1" applyBorder="1" applyAlignment="1">
      <alignment horizontal="left" vertical="center" wrapText="1"/>
    </xf>
    <xf numFmtId="0" fontId="31" fillId="4" borderId="6" xfId="4" applyFont="1" applyFill="1" applyBorder="1" applyAlignment="1">
      <alignment horizontal="center" vertical="center" wrapText="1"/>
    </xf>
    <xf numFmtId="0" fontId="6" fillId="0" borderId="19" xfId="4" applyFont="1" applyBorder="1" applyAlignment="1">
      <alignment horizontal="left" vertical="center" wrapText="1"/>
    </xf>
    <xf numFmtId="3" fontId="10" fillId="0" borderId="12" xfId="3" applyNumberFormat="1" applyFont="1" applyFill="1" applyBorder="1" applyAlignment="1">
      <alignment horizontal="right" vertical="center"/>
    </xf>
    <xf numFmtId="0" fontId="33" fillId="0" borderId="14" xfId="4" applyFont="1" applyBorder="1" applyAlignment="1">
      <alignment horizontal="center" vertical="center" wrapText="1"/>
    </xf>
    <xf numFmtId="49" fontId="6" fillId="6" borderId="12" xfId="4" applyNumberFormat="1" applyFont="1" applyFill="1" applyBorder="1" applyAlignment="1">
      <alignment horizontal="center" vertical="center" wrapText="1"/>
    </xf>
    <xf numFmtId="0" fontId="33" fillId="6" borderId="17" xfId="4" applyFont="1" applyFill="1" applyBorder="1" applyAlignment="1">
      <alignment vertical="center" wrapText="1"/>
    </xf>
    <xf numFmtId="0" fontId="6" fillId="0" borderId="15" xfId="4" applyFont="1" applyBorder="1" applyAlignment="1">
      <alignment horizontal="left" vertical="center" wrapText="1"/>
    </xf>
    <xf numFmtId="0" fontId="33" fillId="6" borderId="12" xfId="4" applyFont="1" applyFill="1" applyBorder="1" applyAlignment="1">
      <alignment vertical="center" wrapText="1"/>
    </xf>
    <xf numFmtId="0" fontId="6" fillId="0" borderId="31" xfId="4" applyFont="1" applyBorder="1" applyAlignment="1">
      <alignment horizontal="left" vertical="center" wrapText="1"/>
    </xf>
    <xf numFmtId="0" fontId="6" fillId="6" borderId="14" xfId="4" applyFont="1" applyFill="1" applyBorder="1" applyAlignment="1">
      <alignment horizontal="center" vertical="center" wrapText="1"/>
    </xf>
    <xf numFmtId="3" fontId="35" fillId="0" borderId="30" xfId="3" applyNumberFormat="1" applyFont="1" applyFill="1" applyBorder="1" applyAlignment="1">
      <alignment horizontal="right" vertical="center"/>
    </xf>
    <xf numFmtId="0" fontId="6" fillId="0" borderId="20" xfId="4" applyFont="1" applyBorder="1" applyAlignment="1">
      <alignment horizontal="left" vertical="center" wrapText="1"/>
    </xf>
    <xf numFmtId="0" fontId="6" fillId="0" borderId="28" xfId="4" applyFont="1" applyBorder="1" applyAlignment="1">
      <alignment horizontal="left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34" xfId="4" applyFont="1" applyBorder="1" applyAlignment="1">
      <alignment horizontal="left" vertical="center" wrapText="1"/>
    </xf>
    <xf numFmtId="10" fontId="35" fillId="0" borderId="22" xfId="1" applyNumberFormat="1" applyFont="1" applyFill="1" applyBorder="1" applyAlignment="1">
      <alignment horizontal="left" vertical="center"/>
    </xf>
    <xf numFmtId="49" fontId="6" fillId="6" borderId="14" xfId="4" applyNumberFormat="1" applyFont="1" applyFill="1" applyBorder="1" applyAlignment="1">
      <alignment horizontal="center" vertical="center" wrapText="1"/>
    </xf>
    <xf numFmtId="49" fontId="6" fillId="0" borderId="14" xfId="4" applyNumberFormat="1" applyFont="1" applyBorder="1" applyAlignment="1">
      <alignment horizontal="center" vertical="center" wrapText="1"/>
    </xf>
    <xf numFmtId="0" fontId="6" fillId="0" borderId="20" xfId="4" quotePrefix="1" applyFont="1" applyBorder="1" applyAlignment="1">
      <alignment vertical="center" wrapText="1"/>
    </xf>
    <xf numFmtId="49" fontId="6" fillId="0" borderId="19" xfId="4" applyNumberFormat="1" applyFont="1" applyBorder="1" applyAlignment="1">
      <alignment horizontal="center" vertical="center" wrapText="1"/>
    </xf>
    <xf numFmtId="0" fontId="33" fillId="6" borderId="14" xfId="4" applyFont="1" applyFill="1" applyBorder="1" applyAlignment="1">
      <alignment vertical="center" wrapText="1"/>
    </xf>
    <xf numFmtId="0" fontId="6" fillId="0" borderId="28" xfId="4" quotePrefix="1" applyFont="1" applyBorder="1" applyAlignment="1">
      <alignment horizontal="left" vertical="center" wrapText="1"/>
    </xf>
    <xf numFmtId="3" fontId="35" fillId="0" borderId="12" xfId="3" applyNumberFormat="1" applyFont="1" applyFill="1" applyBorder="1" applyAlignment="1">
      <alignment horizontal="right" vertical="center"/>
    </xf>
    <xf numFmtId="0" fontId="33" fillId="5" borderId="19" xfId="4" applyFont="1" applyFill="1" applyBorder="1" applyAlignment="1">
      <alignment horizontal="center" vertical="center" wrapText="1"/>
    </xf>
    <xf numFmtId="0" fontId="6" fillId="6" borderId="24" xfId="4" quotePrefix="1" applyFont="1" applyFill="1" applyBorder="1" applyAlignment="1">
      <alignment horizontal="left" vertical="center" wrapText="1"/>
    </xf>
    <xf numFmtId="0" fontId="33" fillId="6" borderId="12" xfId="4" applyFont="1" applyFill="1" applyBorder="1" applyAlignment="1">
      <alignment horizontal="center" vertical="center" wrapText="1"/>
    </xf>
    <xf numFmtId="0" fontId="6" fillId="0" borderId="51" xfId="4" quotePrefix="1" applyFont="1" applyBorder="1" applyAlignment="1">
      <alignment vertical="center" wrapText="1"/>
    </xf>
    <xf numFmtId="0" fontId="6" fillId="0" borderId="31" xfId="4" quotePrefix="1" applyFont="1" applyBorder="1" applyAlignment="1">
      <alignment horizontal="left" vertical="center" wrapText="1"/>
    </xf>
    <xf numFmtId="0" fontId="6" fillId="6" borderId="30" xfId="4" applyFont="1" applyFill="1" applyBorder="1" applyAlignment="1">
      <alignment horizontal="center" vertical="center" wrapText="1"/>
    </xf>
    <xf numFmtId="3" fontId="6" fillId="0" borderId="30" xfId="2" applyNumberFormat="1" applyFont="1" applyBorder="1" applyAlignment="1">
      <alignment horizontal="right" vertical="center"/>
    </xf>
    <xf numFmtId="3" fontId="6" fillId="0" borderId="31" xfId="2" applyNumberFormat="1" applyFont="1" applyBorder="1" applyAlignment="1">
      <alignment horizontal="right" vertical="center"/>
    </xf>
    <xf numFmtId="10" fontId="32" fillId="0" borderId="33" xfId="1" applyNumberFormat="1" applyFont="1" applyFill="1" applyBorder="1" applyAlignment="1">
      <alignment horizontal="left" vertical="center"/>
    </xf>
    <xf numFmtId="0" fontId="16" fillId="6" borderId="3" xfId="4" applyFont="1" applyFill="1" applyBorder="1" applyAlignment="1">
      <alignment vertical="center" wrapText="1"/>
    </xf>
    <xf numFmtId="0" fontId="28" fillId="4" borderId="9" xfId="4" applyFont="1" applyFill="1" applyBorder="1" applyAlignment="1">
      <alignment horizontal="center" vertical="center" wrapText="1"/>
    </xf>
    <xf numFmtId="0" fontId="28" fillId="4" borderId="10" xfId="4" applyFont="1" applyFill="1" applyBorder="1" applyAlignment="1">
      <alignment vertical="center" wrapText="1"/>
    </xf>
    <xf numFmtId="0" fontId="28" fillId="4" borderId="2" xfId="4" applyFont="1" applyFill="1" applyBorder="1" applyAlignment="1">
      <alignment horizontal="left" vertical="center" wrapText="1"/>
    </xf>
    <xf numFmtId="3" fontId="18" fillId="4" borderId="2" xfId="2" applyNumberFormat="1" applyFont="1" applyFill="1" applyBorder="1" applyAlignment="1">
      <alignment horizontal="right" vertical="center"/>
    </xf>
    <xf numFmtId="3" fontId="18" fillId="4" borderId="10" xfId="2" applyNumberFormat="1" applyFont="1" applyFill="1" applyBorder="1" applyAlignment="1">
      <alignment horizontal="right" vertical="center"/>
    </xf>
    <xf numFmtId="0" fontId="16" fillId="6" borderId="12" xfId="4" applyFont="1" applyFill="1" applyBorder="1" applyAlignment="1">
      <alignment vertical="center" wrapText="1"/>
    </xf>
    <xf numFmtId="0" fontId="27" fillId="0" borderId="21" xfId="4" quotePrefix="1" applyFont="1" applyBorder="1" applyAlignment="1">
      <alignment vertical="center" wrapText="1"/>
    </xf>
    <xf numFmtId="49" fontId="27" fillId="6" borderId="19" xfId="4" applyNumberFormat="1" applyFont="1" applyFill="1" applyBorder="1" applyAlignment="1">
      <alignment horizontal="center" vertical="center" wrapText="1"/>
    </xf>
    <xf numFmtId="0" fontId="26" fillId="6" borderId="1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vertical="center" wrapText="1"/>
    </xf>
    <xf numFmtId="3" fontId="22" fillId="5" borderId="6" xfId="2" applyNumberFormat="1" applyFont="1" applyFill="1" applyBorder="1" applyAlignment="1">
      <alignment horizontal="right" vertical="center"/>
    </xf>
    <xf numFmtId="3" fontId="26" fillId="5" borderId="31" xfId="2" applyNumberFormat="1" applyFont="1" applyFill="1" applyBorder="1" applyAlignment="1">
      <alignment horizontal="right" vertical="center"/>
    </xf>
    <xf numFmtId="0" fontId="31" fillId="4" borderId="2" xfId="4" applyFont="1" applyFill="1" applyBorder="1" applyAlignment="1">
      <alignment horizontal="left" vertical="center" wrapText="1"/>
    </xf>
    <xf numFmtId="0" fontId="6" fillId="0" borderId="20" xfId="4" applyFont="1" applyBorder="1" applyAlignment="1">
      <alignment vertical="center" wrapText="1"/>
    </xf>
    <xf numFmtId="0" fontId="33" fillId="6" borderId="14" xfId="4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vertical="center" wrapText="1"/>
    </xf>
    <xf numFmtId="0" fontId="20" fillId="6" borderId="23" xfId="4" applyFont="1" applyFill="1" applyBorder="1" applyAlignment="1">
      <alignment vertical="center" wrapText="1"/>
    </xf>
    <xf numFmtId="0" fontId="23" fillId="0" borderId="21" xfId="4" applyFont="1" applyBorder="1" applyAlignment="1">
      <alignment horizontal="left" vertical="center" wrapText="1"/>
    </xf>
    <xf numFmtId="49" fontId="23" fillId="6" borderId="19" xfId="4" applyNumberFormat="1" applyFont="1" applyFill="1" applyBorder="1" applyAlignment="1">
      <alignment horizontal="center" vertical="center" wrapText="1"/>
    </xf>
    <xf numFmtId="0" fontId="23" fillId="0" borderId="21" xfId="4" applyFont="1" applyBorder="1" applyAlignment="1">
      <alignment vertical="center" wrapText="1"/>
    </xf>
    <xf numFmtId="0" fontId="23" fillId="0" borderId="18" xfId="4" applyFont="1" applyBorder="1" applyAlignment="1">
      <alignment horizontal="left" vertical="center" wrapText="1"/>
    </xf>
    <xf numFmtId="0" fontId="16" fillId="6" borderId="28" xfId="4" applyFont="1" applyFill="1" applyBorder="1" applyAlignment="1">
      <alignment vertical="center" wrapText="1"/>
    </xf>
    <xf numFmtId="10" fontId="21" fillId="5" borderId="37" xfId="1" applyNumberFormat="1" applyFont="1" applyFill="1" applyBorder="1" applyAlignment="1">
      <alignment horizontal="left" vertical="center"/>
    </xf>
    <xf numFmtId="0" fontId="20" fillId="6" borderId="54" xfId="4" applyFont="1" applyFill="1" applyBorder="1" applyAlignment="1">
      <alignment vertical="center" wrapText="1"/>
    </xf>
    <xf numFmtId="0" fontId="23" fillId="6" borderId="19" xfId="4" quotePrefix="1" applyFont="1" applyFill="1" applyBorder="1" applyAlignment="1">
      <alignment horizontal="center" vertical="center" wrapText="1"/>
    </xf>
    <xf numFmtId="3" fontId="24" fillId="0" borderId="21" xfId="3" applyNumberFormat="1" applyFont="1" applyFill="1" applyBorder="1" applyAlignment="1">
      <alignment horizontal="right" vertical="center"/>
    </xf>
    <xf numFmtId="3" fontId="23" fillId="0" borderId="21" xfId="2" applyNumberFormat="1" applyFont="1" applyBorder="1" applyAlignment="1">
      <alignment horizontal="right" vertical="center"/>
    </xf>
    <xf numFmtId="0" fontId="23" fillId="0" borderId="43" xfId="5" applyFont="1" applyBorder="1" applyAlignment="1">
      <alignment vertical="center" wrapText="1"/>
    </xf>
    <xf numFmtId="0" fontId="23" fillId="0" borderId="48" xfId="5" applyFont="1" applyBorder="1" applyAlignment="1">
      <alignment horizontal="left" vertical="center" wrapText="1"/>
    </xf>
    <xf numFmtId="3" fontId="24" fillId="0" borderId="24" xfId="3" applyNumberFormat="1" applyFont="1" applyFill="1" applyBorder="1" applyAlignment="1">
      <alignment horizontal="right" vertical="center"/>
    </xf>
    <xf numFmtId="3" fontId="23" fillId="0" borderId="24" xfId="2" applyNumberFormat="1" applyFont="1" applyBorder="1" applyAlignment="1">
      <alignment horizontal="right" vertical="center"/>
    </xf>
    <xf numFmtId="0" fontId="16" fillId="6" borderId="7" xfId="4" applyFont="1" applyFill="1" applyBorder="1" applyAlignment="1">
      <alignment vertical="center" wrapText="1"/>
    </xf>
    <xf numFmtId="0" fontId="20" fillId="6" borderId="55" xfId="4" applyFont="1" applyFill="1" applyBorder="1" applyAlignment="1">
      <alignment vertical="center" wrapText="1"/>
    </xf>
    <xf numFmtId="0" fontId="23" fillId="0" borderId="50" xfId="4" quotePrefix="1" applyFont="1" applyBorder="1" applyAlignment="1">
      <alignment vertical="center" wrapText="1"/>
    </xf>
    <xf numFmtId="3" fontId="24" fillId="0" borderId="1" xfId="3" applyNumberFormat="1" applyFont="1" applyFill="1" applyBorder="1" applyAlignment="1">
      <alignment horizontal="right" vertical="center"/>
    </xf>
    <xf numFmtId="3" fontId="23" fillId="0" borderId="1" xfId="2" applyNumberFormat="1" applyFont="1" applyBorder="1" applyAlignment="1">
      <alignment horizontal="right" vertical="center"/>
    </xf>
    <xf numFmtId="0" fontId="16" fillId="6" borderId="4" xfId="4" applyFont="1" applyFill="1" applyBorder="1" applyAlignment="1">
      <alignment vertical="center" wrapText="1"/>
    </xf>
    <xf numFmtId="0" fontId="20" fillId="6" borderId="56" xfId="4" applyFont="1" applyFill="1" applyBorder="1" applyAlignment="1">
      <alignment vertical="center" wrapText="1"/>
    </xf>
    <xf numFmtId="0" fontId="23" fillId="0" borderId="36" xfId="4" quotePrefix="1" applyFont="1" applyBorder="1" applyAlignment="1">
      <alignment vertical="center" wrapText="1"/>
    </xf>
    <xf numFmtId="3" fontId="24" fillId="0" borderId="13" xfId="3" applyNumberFormat="1" applyFont="1" applyFill="1" applyBorder="1" applyAlignment="1">
      <alignment horizontal="right" vertical="center"/>
    </xf>
    <xf numFmtId="3" fontId="23" fillId="0" borderId="13" xfId="2" applyNumberFormat="1" applyFont="1" applyBorder="1" applyAlignment="1">
      <alignment horizontal="right" vertical="center"/>
    </xf>
    <xf numFmtId="0" fontId="23" fillId="0" borderId="51" xfId="4" quotePrefix="1" applyFont="1" applyBorder="1" applyAlignment="1">
      <alignment vertical="center" wrapText="1"/>
    </xf>
    <xf numFmtId="3" fontId="23" fillId="6" borderId="21" xfId="2" applyNumberFormat="1" applyFont="1" applyFill="1" applyBorder="1" applyAlignment="1">
      <alignment horizontal="right" vertical="center"/>
    </xf>
    <xf numFmtId="3" fontId="24" fillId="0" borderId="18" xfId="3" applyNumberFormat="1" applyFont="1" applyFill="1" applyBorder="1" applyAlignment="1">
      <alignment horizontal="right" vertical="center"/>
    </xf>
    <xf numFmtId="0" fontId="20" fillId="6" borderId="57" xfId="4" applyFont="1" applyFill="1" applyBorder="1" applyAlignment="1">
      <alignment vertical="center" wrapText="1"/>
    </xf>
    <xf numFmtId="0" fontId="23" fillId="0" borderId="43" xfId="4" quotePrefix="1" applyFont="1" applyBorder="1" applyAlignment="1">
      <alignment vertical="center" wrapText="1"/>
    </xf>
    <xf numFmtId="3" fontId="20" fillId="5" borderId="18" xfId="2" applyNumberFormat="1" applyFont="1" applyFill="1" applyBorder="1" applyAlignment="1">
      <alignment horizontal="right" vertical="center"/>
    </xf>
    <xf numFmtId="0" fontId="20" fillId="6" borderId="41" xfId="4" applyFont="1" applyFill="1" applyBorder="1" applyAlignment="1">
      <alignment horizontal="left" vertical="center" wrapText="1"/>
    </xf>
    <xf numFmtId="0" fontId="23" fillId="0" borderId="42" xfId="4" quotePrefix="1" applyFont="1" applyBorder="1" applyAlignment="1">
      <alignment horizontal="left" vertical="center" wrapText="1"/>
    </xf>
    <xf numFmtId="3" fontId="24" fillId="0" borderId="29" xfId="3" applyNumberFormat="1" applyFont="1" applyFill="1" applyBorder="1" applyAlignment="1">
      <alignment horizontal="right" vertical="center"/>
    </xf>
    <xf numFmtId="3" fontId="23" fillId="6" borderId="30" xfId="2" applyNumberFormat="1" applyFont="1" applyFill="1" applyBorder="1" applyAlignment="1">
      <alignment horizontal="right" vertical="center"/>
    </xf>
    <xf numFmtId="3" fontId="23" fillId="6" borderId="29" xfId="2" applyNumberFormat="1" applyFont="1" applyFill="1" applyBorder="1" applyAlignment="1">
      <alignment horizontal="right" vertical="center"/>
    </xf>
    <xf numFmtId="10" fontId="17" fillId="0" borderId="33" xfId="1" applyNumberFormat="1" applyFont="1" applyFill="1" applyBorder="1" applyAlignment="1">
      <alignment horizontal="left" vertical="center"/>
    </xf>
    <xf numFmtId="0" fontId="16" fillId="3" borderId="6" xfId="2" applyFont="1" applyFill="1" applyBorder="1" applyAlignment="1">
      <alignment horizontal="center"/>
    </xf>
    <xf numFmtId="0" fontId="37" fillId="3" borderId="6" xfId="4" applyFont="1" applyFill="1" applyBorder="1" applyAlignment="1">
      <alignment horizontal="center" vertical="center" wrapText="1"/>
    </xf>
    <xf numFmtId="0" fontId="37" fillId="3" borderId="7" xfId="4" applyFont="1" applyFill="1" applyBorder="1" applyAlignment="1">
      <alignment vertical="center" wrapText="1"/>
    </xf>
    <xf numFmtId="0" fontId="37" fillId="3" borderId="6" xfId="4" applyFont="1" applyFill="1" applyBorder="1" applyAlignment="1">
      <alignment vertical="center" wrapText="1"/>
    </xf>
    <xf numFmtId="3" fontId="18" fillId="3" borderId="6" xfId="3" applyNumberFormat="1" applyFont="1" applyFill="1" applyBorder="1" applyAlignment="1">
      <alignment horizontal="right" vertical="center"/>
    </xf>
    <xf numFmtId="3" fontId="27" fillId="6" borderId="6" xfId="2" applyNumberFormat="1" applyFont="1" applyFill="1" applyBorder="1" applyAlignment="1">
      <alignment horizontal="right" vertical="center"/>
    </xf>
    <xf numFmtId="3" fontId="27" fillId="6" borderId="7" xfId="2" applyNumberFormat="1" applyFont="1" applyFill="1" applyBorder="1" applyAlignment="1">
      <alignment horizontal="right" vertical="center"/>
    </xf>
    <xf numFmtId="10" fontId="18" fillId="0" borderId="8" xfId="1" applyNumberFormat="1" applyFont="1" applyFill="1" applyBorder="1" applyAlignment="1">
      <alignment horizontal="left" vertical="center"/>
    </xf>
    <xf numFmtId="0" fontId="37" fillId="4" borderId="7" xfId="4" applyFont="1" applyFill="1" applyBorder="1" applyAlignment="1">
      <alignment horizontal="center" vertical="center" wrapText="1"/>
    </xf>
    <xf numFmtId="0" fontId="37" fillId="4" borderId="6" xfId="4" applyFont="1" applyFill="1" applyBorder="1" applyAlignment="1">
      <alignment vertical="center" wrapText="1"/>
    </xf>
    <xf numFmtId="3" fontId="18" fillId="4" borderId="6" xfId="3" applyNumberFormat="1" applyFont="1" applyFill="1" applyBorder="1" applyAlignment="1">
      <alignment horizontal="right" vertical="center"/>
    </xf>
    <xf numFmtId="3" fontId="27" fillId="6" borderId="14" xfId="2" applyNumberFormat="1" applyFont="1" applyFill="1" applyBorder="1" applyAlignment="1">
      <alignment horizontal="right" vertical="center"/>
    </xf>
    <xf numFmtId="3" fontId="27" fillId="6" borderId="15" xfId="2" applyNumberFormat="1" applyFont="1" applyFill="1" applyBorder="1" applyAlignment="1">
      <alignment horizontal="right" vertical="center"/>
    </xf>
    <xf numFmtId="3" fontId="22" fillId="5" borderId="27" xfId="3" applyNumberFormat="1" applyFont="1" applyFill="1" applyBorder="1" applyAlignment="1">
      <alignment horizontal="right" vertical="center"/>
    </xf>
    <xf numFmtId="3" fontId="27" fillId="6" borderId="19" xfId="2" applyNumberFormat="1" applyFont="1" applyFill="1" applyBorder="1" applyAlignment="1">
      <alignment horizontal="right" vertical="center"/>
    </xf>
    <xf numFmtId="3" fontId="27" fillId="6" borderId="20" xfId="2" applyNumberFormat="1" applyFont="1" applyFill="1" applyBorder="1" applyAlignment="1">
      <alignment horizontal="right" vertical="center"/>
    </xf>
    <xf numFmtId="0" fontId="34" fillId="6" borderId="12" xfId="4" applyFont="1" applyFill="1" applyBorder="1" applyAlignment="1">
      <alignment horizontal="left" vertical="center" wrapText="1"/>
    </xf>
    <xf numFmtId="0" fontId="29" fillId="6" borderId="28" xfId="4" quotePrefix="1" applyFont="1" applyFill="1" applyBorder="1" applyAlignment="1">
      <alignment horizontal="left" vertical="center" wrapText="1"/>
    </xf>
    <xf numFmtId="0" fontId="27" fillId="6" borderId="12" xfId="4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/>
    </xf>
    <xf numFmtId="3" fontId="32" fillId="3" borderId="10" xfId="2" applyNumberFormat="1" applyFont="1" applyFill="1" applyBorder="1" applyAlignment="1">
      <alignment horizontal="right" vertical="center"/>
    </xf>
    <xf numFmtId="10" fontId="18" fillId="3" borderId="25" xfId="1" applyNumberFormat="1" applyFont="1" applyFill="1" applyBorder="1" applyAlignment="1">
      <alignment horizontal="left" vertical="center"/>
    </xf>
    <xf numFmtId="0" fontId="11" fillId="4" borderId="10" xfId="4" applyFont="1" applyFill="1" applyBorder="1" applyAlignment="1">
      <alignment horizontal="center" vertical="center" wrapText="1"/>
    </xf>
    <xf numFmtId="0" fontId="11" fillId="4" borderId="2" xfId="4" applyFont="1" applyFill="1" applyBorder="1" applyAlignment="1">
      <alignment vertical="center" wrapText="1"/>
    </xf>
    <xf numFmtId="10" fontId="18" fillId="4" borderId="8" xfId="1" applyNumberFormat="1" applyFont="1" applyFill="1" applyBorder="1" applyAlignment="1">
      <alignment horizontal="left" vertical="center"/>
    </xf>
    <xf numFmtId="0" fontId="6" fillId="0" borderId="20" xfId="4" quotePrefix="1" applyFont="1" applyBorder="1" applyAlignment="1">
      <alignment horizontal="left" vertical="center" wrapText="1"/>
    </xf>
    <xf numFmtId="49" fontId="6" fillId="6" borderId="19" xfId="4" quotePrefix="1" applyNumberFormat="1" applyFont="1" applyFill="1" applyBorder="1" applyAlignment="1">
      <alignment horizontal="center" vertical="center" wrapText="1"/>
    </xf>
    <xf numFmtId="3" fontId="35" fillId="0" borderId="19" xfId="2" applyNumberFormat="1" applyFont="1" applyBorder="1" applyAlignment="1">
      <alignment horizontal="right" vertical="center"/>
    </xf>
    <xf numFmtId="0" fontId="6" fillId="0" borderId="24" xfId="5" applyFont="1" applyBorder="1" applyAlignment="1">
      <alignment horizontal="left" vertical="center" wrapText="1"/>
    </xf>
    <xf numFmtId="3" fontId="6" fillId="8" borderId="19" xfId="2" applyNumberFormat="1" applyFont="1" applyFill="1" applyBorder="1" applyAlignment="1">
      <alignment horizontal="right" vertical="center"/>
    </xf>
    <xf numFmtId="3" fontId="6" fillId="8" borderId="20" xfId="2" applyNumberFormat="1" applyFont="1" applyFill="1" applyBorder="1" applyAlignment="1">
      <alignment horizontal="right" vertical="center"/>
    </xf>
    <xf numFmtId="0" fontId="11" fillId="0" borderId="6" xfId="4" applyFont="1" applyBorder="1" applyAlignment="1">
      <alignment vertical="center" wrapText="1"/>
    </xf>
    <xf numFmtId="10" fontId="18" fillId="5" borderId="22" xfId="1" applyNumberFormat="1" applyFont="1" applyFill="1" applyBorder="1" applyAlignment="1">
      <alignment horizontal="left" vertical="center"/>
    </xf>
    <xf numFmtId="0" fontId="43" fillId="0" borderId="3" xfId="4" applyFont="1" applyBorder="1" applyAlignment="1">
      <alignment vertical="center" wrapText="1"/>
    </xf>
    <xf numFmtId="0" fontId="43" fillId="0" borderId="12" xfId="4" applyFont="1" applyBorder="1" applyAlignment="1">
      <alignment vertical="center" wrapText="1"/>
    </xf>
    <xf numFmtId="0" fontId="31" fillId="6" borderId="16" xfId="4" applyFont="1" applyFill="1" applyBorder="1" applyAlignment="1">
      <alignment horizontal="center" vertical="center" wrapText="1"/>
    </xf>
    <xf numFmtId="10" fontId="32" fillId="4" borderId="8" xfId="1" applyNumberFormat="1" applyFont="1" applyFill="1" applyBorder="1" applyAlignment="1">
      <alignment horizontal="left" vertical="center"/>
    </xf>
    <xf numFmtId="10" fontId="10" fillId="5" borderId="37" xfId="1" applyNumberFormat="1" applyFont="1" applyFill="1" applyBorder="1" applyAlignment="1">
      <alignment horizontal="left" vertical="center"/>
    </xf>
    <xf numFmtId="0" fontId="6" fillId="0" borderId="34" xfId="4" applyFont="1" applyBorder="1" applyAlignment="1">
      <alignment vertical="center" wrapText="1"/>
    </xf>
    <xf numFmtId="10" fontId="32" fillId="0" borderId="16" xfId="1" applyNumberFormat="1" applyFont="1" applyFill="1" applyBorder="1" applyAlignment="1">
      <alignment horizontal="left" vertical="center"/>
    </xf>
    <xf numFmtId="0" fontId="31" fillId="6" borderId="12" xfId="4" applyFont="1" applyFill="1" applyBorder="1" applyAlignment="1">
      <alignment horizontal="center" vertical="center" wrapText="1"/>
    </xf>
    <xf numFmtId="0" fontId="28" fillId="6" borderId="12" xfId="4" applyFont="1" applyFill="1" applyBorder="1" applyAlignment="1">
      <alignment horizontal="center" vertical="center" wrapText="1"/>
    </xf>
    <xf numFmtId="0" fontId="27" fillId="0" borderId="34" xfId="4" applyFont="1" applyBorder="1" applyAlignment="1">
      <alignment vertical="center" wrapText="1"/>
    </xf>
    <xf numFmtId="0" fontId="43" fillId="0" borderId="6" xfId="4" applyFont="1" applyBorder="1" applyAlignment="1">
      <alignment vertical="center" wrapText="1"/>
    </xf>
    <xf numFmtId="0" fontId="12" fillId="4" borderId="10" xfId="4" applyFont="1" applyFill="1" applyBorder="1" applyAlignment="1">
      <alignment horizontal="center" vertical="center" wrapText="1"/>
    </xf>
    <xf numFmtId="0" fontId="12" fillId="4" borderId="10" xfId="4" applyFont="1" applyFill="1" applyBorder="1" applyAlignment="1">
      <alignment vertical="center" wrapText="1"/>
    </xf>
    <xf numFmtId="0" fontId="12" fillId="4" borderId="2" xfId="4" applyFont="1" applyFill="1" applyBorder="1" applyAlignment="1">
      <alignment vertical="center" wrapText="1"/>
    </xf>
    <xf numFmtId="3" fontId="23" fillId="5" borderId="17" xfId="2" applyNumberFormat="1" applyFont="1" applyFill="1" applyBorder="1" applyAlignment="1">
      <alignment horizontal="right" vertical="center"/>
    </xf>
    <xf numFmtId="3" fontId="23" fillId="5" borderId="34" xfId="2" applyNumberFormat="1" applyFont="1" applyFill="1" applyBorder="1" applyAlignment="1">
      <alignment horizontal="right" vertical="center"/>
    </xf>
    <xf numFmtId="0" fontId="12" fillId="0" borderId="19" xfId="4" applyFont="1" applyBorder="1" applyAlignment="1">
      <alignment horizontal="center" vertical="center" wrapText="1"/>
    </xf>
    <xf numFmtId="0" fontId="23" fillId="0" borderId="19" xfId="4" applyFont="1" applyBorder="1" applyAlignment="1">
      <alignment horizontal="center" vertical="center" wrapText="1"/>
    </xf>
    <xf numFmtId="0" fontId="20" fillId="5" borderId="6" xfId="4" applyFont="1" applyFill="1" applyBorder="1" applyAlignment="1">
      <alignment horizontal="left" vertical="center" wrapText="1"/>
    </xf>
    <xf numFmtId="0" fontId="34" fillId="0" borderId="12" xfId="4" applyFont="1" applyBorder="1" applyAlignment="1">
      <alignment horizontal="center" vertical="center" wrapText="1"/>
    </xf>
    <xf numFmtId="0" fontId="26" fillId="6" borderId="14" xfId="4" applyFont="1" applyFill="1" applyBorder="1" applyAlignment="1">
      <alignment vertical="center" wrapText="1"/>
    </xf>
    <xf numFmtId="49" fontId="27" fillId="6" borderId="12" xfId="4" applyNumberFormat="1" applyFont="1" applyFill="1" applyBorder="1" applyAlignment="1">
      <alignment horizontal="center" vertical="center" wrapText="1"/>
    </xf>
    <xf numFmtId="0" fontId="19" fillId="4" borderId="6" xfId="4" applyFont="1" applyFill="1" applyBorder="1" applyAlignment="1">
      <alignment horizontal="center" vertical="center" wrapText="1"/>
    </xf>
    <xf numFmtId="0" fontId="23" fillId="6" borderId="24" xfId="4" applyFont="1" applyFill="1" applyBorder="1" applyAlignment="1">
      <alignment horizontal="left" vertical="center" wrapText="1"/>
    </xf>
    <xf numFmtId="0" fontId="26" fillId="0" borderId="34" xfId="4" applyFont="1" applyBorder="1" applyAlignment="1">
      <alignment horizontal="center" vertical="center" wrapText="1"/>
    </xf>
    <xf numFmtId="0" fontId="37" fillId="0" borderId="12" xfId="4" applyFont="1" applyBorder="1" applyAlignment="1">
      <alignment horizontal="center" vertical="center" wrapText="1"/>
    </xf>
    <xf numFmtId="3" fontId="18" fillId="4" borderId="7" xfId="2" applyNumberFormat="1" applyFont="1" applyFill="1" applyBorder="1" applyAlignment="1">
      <alignment horizontal="right" vertical="center"/>
    </xf>
    <xf numFmtId="3" fontId="22" fillId="5" borderId="26" xfId="2" applyNumberFormat="1" applyFont="1" applyFill="1" applyBorder="1" applyAlignment="1">
      <alignment horizontal="right" vertical="center"/>
    </xf>
    <xf numFmtId="0" fontId="27" fillId="0" borderId="19" xfId="4" applyFont="1" applyBorder="1" applyAlignment="1">
      <alignment horizontal="left" vertical="center" wrapText="1"/>
    </xf>
    <xf numFmtId="0" fontId="27" fillId="0" borderId="20" xfId="4" applyFont="1" applyBorder="1" applyAlignment="1">
      <alignment horizontal="left" vertical="center" wrapText="1"/>
    </xf>
    <xf numFmtId="0" fontId="11" fillId="10" borderId="9" xfId="4" applyFont="1" applyFill="1" applyBorder="1" applyAlignment="1">
      <alignment horizontal="center" vertical="center" wrapText="1"/>
    </xf>
    <xf numFmtId="0" fontId="11" fillId="10" borderId="10" xfId="4" applyFont="1" applyFill="1" applyBorder="1" applyAlignment="1">
      <alignment vertical="center" wrapText="1"/>
    </xf>
    <xf numFmtId="0" fontId="11" fillId="10" borderId="2" xfId="4" applyFont="1" applyFill="1" applyBorder="1" applyAlignment="1">
      <alignment vertical="center" wrapText="1"/>
    </xf>
    <xf numFmtId="3" fontId="32" fillId="10" borderId="10" xfId="2" applyNumberFormat="1" applyFont="1" applyFill="1" applyBorder="1" applyAlignment="1">
      <alignment horizontal="right" vertical="center"/>
    </xf>
    <xf numFmtId="0" fontId="11" fillId="0" borderId="3" xfId="4" applyFont="1" applyBorder="1" applyAlignment="1">
      <alignment vertical="center" wrapText="1"/>
    </xf>
    <xf numFmtId="3" fontId="10" fillId="5" borderId="3" xfId="3" applyNumberFormat="1" applyFont="1" applyFill="1" applyBorder="1" applyAlignment="1">
      <alignment horizontal="right" vertical="center"/>
    </xf>
    <xf numFmtId="3" fontId="10" fillId="5" borderId="4" xfId="3" applyNumberFormat="1" applyFont="1" applyFill="1" applyBorder="1" applyAlignment="1">
      <alignment horizontal="right" vertical="center"/>
    </xf>
    <xf numFmtId="10" fontId="32" fillId="5" borderId="25" xfId="1" applyNumberFormat="1" applyFont="1" applyFill="1" applyBorder="1" applyAlignment="1">
      <alignment horizontal="left" vertical="center"/>
    </xf>
    <xf numFmtId="0" fontId="33" fillId="6" borderId="19" xfId="4" applyFont="1" applyFill="1" applyBorder="1" applyAlignment="1">
      <alignment horizontal="center" vertical="center" wrapText="1"/>
    </xf>
    <xf numFmtId="0" fontId="6" fillId="6" borderId="21" xfId="4" applyFont="1" applyFill="1" applyBorder="1" applyAlignment="1">
      <alignment vertical="center" wrapText="1"/>
    </xf>
    <xf numFmtId="0" fontId="6" fillId="6" borderId="44" xfId="4" applyFont="1" applyFill="1" applyBorder="1" applyAlignment="1">
      <alignment horizontal="left" vertical="center" wrapText="1"/>
    </xf>
    <xf numFmtId="3" fontId="35" fillId="6" borderId="12" xfId="2" applyNumberFormat="1" applyFont="1" applyFill="1" applyBorder="1" applyAlignment="1">
      <alignment horizontal="right" vertical="center"/>
    </xf>
    <xf numFmtId="3" fontId="35" fillId="6" borderId="28" xfId="2" applyNumberFormat="1" applyFont="1" applyFill="1" applyBorder="1" applyAlignment="1">
      <alignment horizontal="right" vertical="center"/>
    </xf>
    <xf numFmtId="0" fontId="1" fillId="6" borderId="0" xfId="2" applyFont="1" applyFill="1"/>
    <xf numFmtId="0" fontId="6" fillId="0" borderId="40" xfId="4" applyFont="1" applyBorder="1" applyAlignment="1">
      <alignment vertical="center" wrapText="1"/>
    </xf>
    <xf numFmtId="3" fontId="6" fillId="0" borderId="12" xfId="2" applyNumberFormat="1" applyFont="1" applyBorder="1" applyAlignment="1">
      <alignment horizontal="right" vertical="center"/>
    </xf>
    <xf numFmtId="3" fontId="6" fillId="0" borderId="28" xfId="2" applyNumberFormat="1" applyFont="1" applyBorder="1" applyAlignment="1">
      <alignment horizontal="right" vertical="center"/>
    </xf>
    <xf numFmtId="0" fontId="33" fillId="5" borderId="6" xfId="4" applyFont="1" applyFill="1" applyBorder="1" applyAlignment="1">
      <alignment horizontal="left" vertical="center" wrapText="1"/>
    </xf>
    <xf numFmtId="0" fontId="23" fillId="3" borderId="9" xfId="4" applyFont="1" applyFill="1" applyBorder="1" applyAlignment="1">
      <alignment horizontal="center" vertical="center" wrapText="1"/>
    </xf>
    <xf numFmtId="0" fontId="12" fillId="3" borderId="10" xfId="4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left" vertical="center" wrapText="1"/>
    </xf>
    <xf numFmtId="0" fontId="16" fillId="6" borderId="12" xfId="4" applyFont="1" applyFill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center" wrapText="1"/>
    </xf>
    <xf numFmtId="0" fontId="26" fillId="0" borderId="12" xfId="4" applyFont="1" applyBorder="1" applyAlignment="1">
      <alignment horizontal="left" vertical="center" wrapText="1"/>
    </xf>
    <xf numFmtId="0" fontId="23" fillId="0" borderId="24" xfId="4" applyFont="1" applyBorder="1" applyAlignment="1">
      <alignment horizontal="left" vertical="center" wrapText="1"/>
    </xf>
    <xf numFmtId="3" fontId="24" fillId="0" borderId="12" xfId="2" applyNumberFormat="1" applyFont="1" applyBorder="1" applyAlignment="1">
      <alignment horizontal="right" vertical="center"/>
    </xf>
    <xf numFmtId="0" fontId="26" fillId="6" borderId="12" xfId="4" applyFont="1" applyFill="1" applyBorder="1" applyAlignment="1">
      <alignment vertical="center" wrapText="1"/>
    </xf>
    <xf numFmtId="0" fontId="26" fillId="6" borderId="14" xfId="4" applyFont="1" applyFill="1" applyBorder="1" applyAlignment="1">
      <alignment horizontal="center" vertical="center" wrapText="1"/>
    </xf>
    <xf numFmtId="0" fontId="27" fillId="6" borderId="19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28" fillId="4" borderId="8" xfId="4" applyFont="1" applyFill="1" applyBorder="1" applyAlignment="1">
      <alignment horizontal="center" vertical="center" wrapText="1"/>
    </xf>
    <xf numFmtId="0" fontId="28" fillId="4" borderId="7" xfId="4" applyFont="1" applyFill="1" applyBorder="1" applyAlignment="1">
      <alignment horizontal="left" vertical="center" wrapText="1"/>
    </xf>
    <xf numFmtId="0" fontId="28" fillId="4" borderId="6" xfId="4" applyFont="1" applyFill="1" applyBorder="1" applyAlignment="1">
      <alignment horizontal="left" vertical="center" wrapText="1"/>
    </xf>
    <xf numFmtId="0" fontId="26" fillId="5" borderId="3" xfId="4" applyFont="1" applyFill="1" applyBorder="1" applyAlignment="1">
      <alignment horizontal="left" vertical="center" wrapText="1"/>
    </xf>
    <xf numFmtId="3" fontId="25" fillId="5" borderId="12" xfId="2" applyNumberFormat="1" applyFont="1" applyFill="1" applyBorder="1" applyAlignment="1">
      <alignment horizontal="right" vertical="center"/>
    </xf>
    <xf numFmtId="0" fontId="52" fillId="2" borderId="2" xfId="4" applyFont="1" applyFill="1" applyBorder="1" applyAlignment="1">
      <alignment horizontal="center" vertical="center" wrapText="1"/>
    </xf>
    <xf numFmtId="3" fontId="53" fillId="2" borderId="2" xfId="2" applyNumberFormat="1" applyFont="1" applyFill="1" applyBorder="1" applyAlignment="1">
      <alignment horizontal="right" vertical="center"/>
    </xf>
    <xf numFmtId="10" fontId="19" fillId="2" borderId="2" xfId="1" applyNumberFormat="1" applyFont="1" applyFill="1" applyBorder="1" applyAlignment="1">
      <alignment horizontal="right" vertical="center"/>
    </xf>
    <xf numFmtId="10" fontId="17" fillId="2" borderId="2" xfId="1" applyNumberFormat="1" applyFont="1" applyFill="1" applyBorder="1" applyAlignment="1">
      <alignment horizontal="right" vertical="center"/>
    </xf>
    <xf numFmtId="10" fontId="54" fillId="2" borderId="9" xfId="1" applyNumberFormat="1" applyFont="1" applyFill="1" applyBorder="1" applyAlignment="1">
      <alignment horizontal="left" vertical="center"/>
    </xf>
    <xf numFmtId="0" fontId="55" fillId="5" borderId="26" xfId="4" applyFont="1" applyFill="1" applyBorder="1" applyAlignment="1">
      <alignment horizontal="left" vertical="center"/>
    </xf>
    <xf numFmtId="0" fontId="55" fillId="5" borderId="13" xfId="4" applyFont="1" applyFill="1" applyBorder="1" applyAlignment="1">
      <alignment horizontal="left" vertical="center"/>
    </xf>
    <xf numFmtId="0" fontId="56" fillId="5" borderId="27" xfId="4" applyFont="1" applyFill="1" applyBorder="1" applyAlignment="1">
      <alignment vertical="center"/>
    </xf>
    <xf numFmtId="3" fontId="53" fillId="5" borderId="27" xfId="2" applyNumberFormat="1" applyFont="1" applyFill="1" applyBorder="1" applyAlignment="1">
      <alignment horizontal="right" vertical="center"/>
    </xf>
    <xf numFmtId="3" fontId="27" fillId="5" borderId="43" xfId="2" applyNumberFormat="1" applyFont="1" applyFill="1" applyBorder="1" applyAlignment="1">
      <alignment horizontal="right" vertical="center"/>
    </xf>
    <xf numFmtId="0" fontId="57" fillId="5" borderId="39" xfId="4" applyFont="1" applyFill="1" applyBorder="1" applyAlignment="1">
      <alignment horizontal="left" vertical="center"/>
    </xf>
    <xf numFmtId="0" fontId="57" fillId="5" borderId="43" xfId="4" applyFont="1" applyFill="1" applyBorder="1" applyAlignment="1">
      <alignment horizontal="left" vertical="center"/>
    </xf>
    <xf numFmtId="0" fontId="57" fillId="5" borderId="21" xfId="4" applyFont="1" applyFill="1" applyBorder="1" applyAlignment="1">
      <alignment horizontal="left" vertical="center"/>
    </xf>
    <xf numFmtId="0" fontId="54" fillId="5" borderId="19" xfId="4" applyFont="1" applyFill="1" applyBorder="1" applyAlignment="1">
      <alignment vertical="center"/>
    </xf>
    <xf numFmtId="3" fontId="57" fillId="5" borderId="20" xfId="2" applyNumberFormat="1" applyFont="1" applyFill="1" applyBorder="1" applyAlignment="1">
      <alignment horizontal="right" vertical="center"/>
    </xf>
    <xf numFmtId="3" fontId="57" fillId="5" borderId="19" xfId="2" applyNumberFormat="1" applyFont="1" applyFill="1" applyBorder="1" applyAlignment="1">
      <alignment horizontal="right" vertical="center"/>
    </xf>
    <xf numFmtId="10" fontId="19" fillId="5" borderId="19" xfId="1" applyNumberFormat="1" applyFont="1" applyFill="1" applyBorder="1" applyAlignment="1">
      <alignment horizontal="right" vertical="center"/>
    </xf>
    <xf numFmtId="10" fontId="58" fillId="5" borderId="19" xfId="1" applyNumberFormat="1" applyFont="1" applyFill="1" applyBorder="1" applyAlignment="1">
      <alignment horizontal="right" vertical="center"/>
    </xf>
    <xf numFmtId="10" fontId="54" fillId="5" borderId="25" xfId="1" applyNumberFormat="1" applyFont="1" applyFill="1" applyBorder="1" applyAlignment="1">
      <alignment horizontal="left" vertical="center"/>
    </xf>
    <xf numFmtId="0" fontId="56" fillId="5" borderId="17" xfId="4" applyFont="1" applyFill="1" applyBorder="1" applyAlignment="1">
      <alignment vertical="center"/>
    </xf>
    <xf numFmtId="0" fontId="57" fillId="5" borderId="41" xfId="4" applyFont="1" applyFill="1" applyBorder="1" applyAlignment="1">
      <alignment horizontal="left" vertical="center"/>
    </xf>
    <xf numFmtId="0" fontId="57" fillId="5" borderId="58" xfId="4" applyFont="1" applyFill="1" applyBorder="1" applyAlignment="1">
      <alignment horizontal="left" vertical="center"/>
    </xf>
    <xf numFmtId="0" fontId="57" fillId="5" borderId="42" xfId="4" applyFont="1" applyFill="1" applyBorder="1" applyAlignment="1">
      <alignment horizontal="left" vertical="center"/>
    </xf>
    <xf numFmtId="0" fontId="54" fillId="5" borderId="30" xfId="4" applyFont="1" applyFill="1" applyBorder="1" applyAlignment="1">
      <alignment vertical="center"/>
    </xf>
    <xf numFmtId="3" fontId="57" fillId="5" borderId="31" xfId="2" applyNumberFormat="1" applyFont="1" applyFill="1" applyBorder="1" applyAlignment="1">
      <alignment horizontal="right" vertical="center"/>
    </xf>
    <xf numFmtId="3" fontId="57" fillId="5" borderId="30" xfId="2" applyNumberFormat="1" applyFont="1" applyFill="1" applyBorder="1" applyAlignment="1">
      <alignment horizontal="right" vertical="center"/>
    </xf>
    <xf numFmtId="10" fontId="19" fillId="5" borderId="30" xfId="1" applyNumberFormat="1" applyFont="1" applyFill="1" applyBorder="1" applyAlignment="1">
      <alignment horizontal="right" vertical="center"/>
    </xf>
    <xf numFmtId="10" fontId="58" fillId="5" borderId="30" xfId="1" applyNumberFormat="1" applyFont="1" applyFill="1" applyBorder="1" applyAlignment="1">
      <alignment horizontal="right" vertical="center"/>
    </xf>
    <xf numFmtId="10" fontId="54" fillId="5" borderId="33" xfId="1" applyNumberFormat="1" applyFont="1" applyFill="1" applyBorder="1" applyAlignment="1">
      <alignment horizontal="left" vertical="center"/>
    </xf>
    <xf numFmtId="3" fontId="25" fillId="0" borderId="0" xfId="2" applyNumberFormat="1" applyFont="1" applyAlignment="1">
      <alignment horizontal="right" vertical="center"/>
    </xf>
    <xf numFmtId="0" fontId="56" fillId="5" borderId="12" xfId="4" applyFont="1" applyFill="1" applyBorder="1" applyAlignment="1">
      <alignment vertical="center"/>
    </xf>
    <xf numFmtId="3" fontId="55" fillId="5" borderId="14" xfId="2" applyNumberFormat="1" applyFont="1" applyFill="1" applyBorder="1" applyAlignment="1">
      <alignment horizontal="right" vertical="center"/>
    </xf>
    <xf numFmtId="3" fontId="23" fillId="0" borderId="0" xfId="2" applyNumberFormat="1" applyFont="1" applyAlignment="1">
      <alignment horizontal="right" vertical="center"/>
    </xf>
    <xf numFmtId="9" fontId="12" fillId="3" borderId="0" xfId="1" applyFont="1" applyFill="1" applyBorder="1" applyAlignment="1">
      <alignment horizontal="right" vertical="center"/>
    </xf>
    <xf numFmtId="10" fontId="12" fillId="3" borderId="0" xfId="1" applyNumberFormat="1" applyFont="1" applyFill="1" applyBorder="1" applyAlignment="1">
      <alignment horizontal="right" vertical="center"/>
    </xf>
    <xf numFmtId="3" fontId="27" fillId="0" borderId="0" xfId="2" applyNumberFormat="1" applyFont="1" applyAlignment="1">
      <alignment horizontal="left" vertical="center"/>
    </xf>
    <xf numFmtId="0" fontId="56" fillId="5" borderId="30" xfId="4" applyFont="1" applyFill="1" applyBorder="1" applyAlignment="1">
      <alignment vertical="center"/>
    </xf>
    <xf numFmtId="3" fontId="55" fillId="5" borderId="41" xfId="2" applyNumberFormat="1" applyFont="1" applyFill="1" applyBorder="1" applyAlignment="1">
      <alignment horizontal="right" vertical="center"/>
    </xf>
    <xf numFmtId="3" fontId="24" fillId="0" borderId="0" xfId="3" applyNumberFormat="1" applyFont="1" applyBorder="1" applyAlignment="1">
      <alignment horizontal="right" vertical="center"/>
    </xf>
    <xf numFmtId="0" fontId="60" fillId="0" borderId="0" xfId="2" applyFont="1"/>
    <xf numFmtId="3" fontId="27" fillId="0" borderId="0" xfId="2" applyNumberFormat="1" applyFont="1" applyAlignment="1">
      <alignment horizontal="right" vertical="center"/>
    </xf>
    <xf numFmtId="0" fontId="60" fillId="0" borderId="0" xfId="2" applyFont="1" applyAlignment="1">
      <alignment horizontal="right"/>
    </xf>
    <xf numFmtId="3" fontId="25" fillId="0" borderId="0" xfId="3" applyNumberFormat="1" applyFont="1" applyBorder="1" applyAlignment="1">
      <alignment horizontal="right" vertical="center"/>
    </xf>
    <xf numFmtId="9" fontId="27" fillId="0" borderId="0" xfId="1" applyFont="1" applyAlignment="1">
      <alignment horizontal="right" vertical="center"/>
    </xf>
    <xf numFmtId="0" fontId="61" fillId="0" borderId="0" xfId="2" applyFont="1"/>
    <xf numFmtId="3" fontId="18" fillId="0" borderId="0" xfId="3" applyNumberFormat="1" applyFont="1" applyBorder="1" applyAlignment="1">
      <alignment horizontal="right" vertical="center"/>
    </xf>
    <xf numFmtId="3" fontId="16" fillId="0" borderId="0" xfId="2" applyNumberFormat="1" applyFont="1" applyAlignment="1">
      <alignment horizontal="right" vertical="center"/>
    </xf>
    <xf numFmtId="3" fontId="25" fillId="0" borderId="0" xfId="2" applyNumberFormat="1" applyFont="1" applyAlignment="1">
      <alignment horizontal="left" vertical="center"/>
    </xf>
    <xf numFmtId="0" fontId="3" fillId="0" borderId="0" xfId="2" applyAlignment="1">
      <alignment horizontal="left"/>
    </xf>
    <xf numFmtId="0" fontId="36" fillId="0" borderId="0" xfId="2" applyFont="1" applyAlignment="1">
      <alignment horizontal="center" vertical="center"/>
    </xf>
    <xf numFmtId="0" fontId="36" fillId="0" borderId="0" xfId="2" applyFont="1" applyAlignment="1">
      <alignment vertical="center"/>
    </xf>
    <xf numFmtId="0" fontId="6" fillId="6" borderId="24" xfId="2" quotePrefix="1" applyFont="1" applyFill="1" applyBorder="1" applyAlignment="1">
      <alignment horizontal="left" vertical="center" wrapText="1"/>
    </xf>
    <xf numFmtId="0" fontId="6" fillId="6" borderId="20" xfId="2" quotePrefix="1" applyFont="1" applyFill="1" applyBorder="1" applyAlignment="1">
      <alignment horizontal="left" vertical="center" wrapText="1"/>
    </xf>
    <xf numFmtId="0" fontId="20" fillId="5" borderId="19" xfId="4" applyFont="1" applyFill="1" applyBorder="1" applyAlignment="1">
      <alignment horizontal="center" vertical="center" wrapText="1"/>
    </xf>
    <xf numFmtId="0" fontId="62" fillId="0" borderId="0" xfId="2" applyFont="1" applyAlignment="1">
      <alignment horizontal="right"/>
    </xf>
    <xf numFmtId="3" fontId="23" fillId="5" borderId="8" xfId="1" applyNumberFormat="1" applyFont="1" applyFill="1" applyBorder="1" applyAlignment="1">
      <alignment horizontal="right" vertical="center"/>
    </xf>
    <xf numFmtId="3" fontId="20" fillId="5" borderId="8" xfId="1" applyNumberFormat="1" applyFont="1" applyFill="1" applyBorder="1" applyAlignment="1">
      <alignment horizontal="right" vertical="center"/>
    </xf>
    <xf numFmtId="3" fontId="35" fillId="0" borderId="1" xfId="3" applyNumberFormat="1" applyFont="1" applyFill="1" applyBorder="1" applyAlignment="1">
      <alignment horizontal="right" vertical="center"/>
    </xf>
    <xf numFmtId="3" fontId="6" fillId="6" borderId="6" xfId="2" applyNumberFormat="1" applyFont="1" applyFill="1" applyBorder="1" applyAlignment="1">
      <alignment horizontal="right" vertical="center"/>
    </xf>
    <xf numFmtId="3" fontId="6" fillId="6" borderId="1" xfId="2" applyNumberFormat="1" applyFont="1" applyFill="1" applyBorder="1" applyAlignment="1">
      <alignment horizontal="right" vertical="center"/>
    </xf>
    <xf numFmtId="0" fontId="6" fillId="6" borderId="30" xfId="2" applyFont="1" applyFill="1" applyBorder="1" applyAlignment="1">
      <alignment vertical="center" wrapText="1"/>
    </xf>
    <xf numFmtId="0" fontId="6" fillId="6" borderId="30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20" fillId="6" borderId="30" xfId="2" applyFont="1" applyFill="1" applyBorder="1" applyAlignment="1">
      <alignment vertical="center" wrapText="1"/>
    </xf>
    <xf numFmtId="0" fontId="23" fillId="6" borderId="31" xfId="2" quotePrefix="1" applyFont="1" applyFill="1" applyBorder="1" applyAlignment="1">
      <alignment horizontal="left" vertical="center" wrapText="1"/>
    </xf>
    <xf numFmtId="0" fontId="20" fillId="6" borderId="3" xfId="2" applyFont="1" applyFill="1" applyBorder="1" applyAlignment="1">
      <alignment vertical="center" wrapText="1"/>
    </xf>
    <xf numFmtId="0" fontId="23" fillId="6" borderId="4" xfId="2" quotePrefix="1" applyFont="1" applyFill="1" applyBorder="1" applyAlignment="1">
      <alignment horizontal="left" vertical="center" wrapText="1"/>
    </xf>
    <xf numFmtId="0" fontId="29" fillId="6" borderId="0" xfId="4" applyFont="1" applyFill="1" applyAlignment="1">
      <alignment vertical="center" wrapText="1"/>
    </xf>
    <xf numFmtId="0" fontId="46" fillId="0" borderId="22" xfId="4" applyFont="1" applyBorder="1" applyAlignment="1">
      <alignment vertical="center" wrapText="1"/>
    </xf>
    <xf numFmtId="0" fontId="9" fillId="0" borderId="34" xfId="2" applyFont="1" applyBorder="1" applyAlignment="1">
      <alignment horizontal="left" vertical="center" wrapText="1"/>
    </xf>
    <xf numFmtId="0" fontId="6" fillId="0" borderId="17" xfId="4" applyFont="1" applyBorder="1" applyAlignment="1">
      <alignment horizontal="center" vertical="center" wrapText="1"/>
    </xf>
    <xf numFmtId="0" fontId="16" fillId="0" borderId="3" xfId="4" applyFont="1" applyBorder="1" applyAlignment="1">
      <alignment vertical="center" wrapText="1"/>
    </xf>
    <xf numFmtId="0" fontId="49" fillId="6" borderId="14" xfId="2" applyFont="1" applyFill="1" applyBorder="1" applyAlignment="1">
      <alignment vertical="center" wrapText="1"/>
    </xf>
    <xf numFmtId="0" fontId="23" fillId="0" borderId="28" xfId="2" quotePrefix="1" applyFont="1" applyBorder="1" applyAlignment="1">
      <alignment vertical="center" wrapText="1"/>
    </xf>
    <xf numFmtId="49" fontId="23" fillId="0" borderId="12" xfId="2" applyNumberFormat="1" applyFont="1" applyBorder="1" applyAlignment="1">
      <alignment horizontal="center" vertical="center" wrapText="1"/>
    </xf>
    <xf numFmtId="49" fontId="20" fillId="5" borderId="19" xfId="4" applyNumberFormat="1" applyFont="1" applyFill="1" applyBorder="1" applyAlignment="1">
      <alignment horizontal="center" vertical="center" wrapText="1"/>
    </xf>
    <xf numFmtId="3" fontId="32" fillId="3" borderId="2" xfId="2" applyNumberFormat="1" applyFont="1" applyFill="1" applyBorder="1" applyAlignment="1">
      <alignment horizontal="right" vertical="center"/>
    </xf>
    <xf numFmtId="0" fontId="11" fillId="4" borderId="10" xfId="4" applyFont="1" applyFill="1" applyBorder="1" applyAlignment="1">
      <alignment vertical="center" wrapText="1"/>
    </xf>
    <xf numFmtId="3" fontId="20" fillId="5" borderId="27" xfId="2" applyNumberFormat="1" applyFont="1" applyFill="1" applyBorder="1" applyAlignment="1">
      <alignment horizontal="right" vertical="center"/>
    </xf>
    <xf numFmtId="0" fontId="27" fillId="0" borderId="0" xfId="4" applyFont="1" applyAlignment="1">
      <alignment vertical="center" wrapText="1"/>
    </xf>
    <xf numFmtId="3" fontId="32" fillId="10" borderId="2" xfId="2" applyNumberFormat="1" applyFont="1" applyFill="1" applyBorder="1" applyAlignment="1">
      <alignment horizontal="right" vertical="center"/>
    </xf>
    <xf numFmtId="0" fontId="23" fillId="0" borderId="7" xfId="2" applyFont="1" applyBorder="1" applyAlignment="1">
      <alignment vertical="center" wrapText="1"/>
    </xf>
    <xf numFmtId="0" fontId="27" fillId="6" borderId="0" xfId="2" applyFont="1" applyFill="1" applyAlignment="1">
      <alignment vertical="center" wrapText="1"/>
    </xf>
    <xf numFmtId="0" fontId="20" fillId="0" borderId="0" xfId="2" applyFont="1" applyAlignment="1">
      <alignment horizontal="left" vertical="center" wrapText="1"/>
    </xf>
    <xf numFmtId="0" fontId="23" fillId="0" borderId="28" xfId="2" applyFont="1" applyBorder="1" applyAlignment="1">
      <alignment vertical="center" wrapText="1"/>
    </xf>
    <xf numFmtId="0" fontId="27" fillId="0" borderId="0" xfId="2" applyFont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26" xfId="2" applyFont="1" applyBorder="1" applyAlignment="1">
      <alignment horizontal="left" vertical="center" wrapText="1"/>
    </xf>
    <xf numFmtId="0" fontId="23" fillId="6" borderId="27" xfId="2" quotePrefix="1" applyFont="1" applyFill="1" applyBorder="1" applyAlignment="1">
      <alignment horizontal="center" vertical="center" wrapText="1"/>
    </xf>
    <xf numFmtId="0" fontId="23" fillId="6" borderId="0" xfId="2" applyFont="1" applyFill="1" applyAlignment="1">
      <alignment horizontal="left" vertical="center" wrapText="1"/>
    </xf>
    <xf numFmtId="0" fontId="29" fillId="0" borderId="0" xfId="2" applyFont="1" applyAlignment="1">
      <alignment vertical="center" wrapText="1"/>
    </xf>
    <xf numFmtId="0" fontId="51" fillId="2" borderId="10" xfId="4" applyFont="1" applyFill="1" applyBorder="1" applyAlignment="1">
      <alignment horizontal="center" vertical="center" wrapText="1"/>
    </xf>
    <xf numFmtId="0" fontId="24" fillId="0" borderId="0" xfId="4"/>
    <xf numFmtId="0" fontId="25" fillId="0" borderId="0" xfId="4" applyFont="1"/>
    <xf numFmtId="3" fontId="25" fillId="0" borderId="0" xfId="4" applyNumberFormat="1" applyFont="1"/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3" fontId="18" fillId="0" borderId="0" xfId="4" applyNumberFormat="1" applyFont="1"/>
    <xf numFmtId="0" fontId="28" fillId="0" borderId="0" xfId="4" applyFont="1" applyAlignment="1">
      <alignment horizontal="left"/>
    </xf>
    <xf numFmtId="0" fontId="16" fillId="0" borderId="0" xfId="4" applyFont="1" applyAlignment="1">
      <alignment horizontal="right"/>
    </xf>
    <xf numFmtId="3" fontId="66" fillId="0" borderId="0" xfId="4" applyNumberFormat="1" applyFont="1"/>
    <xf numFmtId="0" fontId="28" fillId="0" borderId="0" xfId="4" applyFont="1" applyAlignment="1">
      <alignment horizontal="right"/>
    </xf>
    <xf numFmtId="0" fontId="27" fillId="0" borderId="0" xfId="4" applyFont="1" applyAlignment="1">
      <alignment horizontal="right"/>
    </xf>
    <xf numFmtId="3" fontId="25" fillId="0" borderId="0" xfId="4" applyNumberFormat="1" applyFont="1" applyAlignment="1">
      <alignment horizontal="right"/>
    </xf>
    <xf numFmtId="0" fontId="26" fillId="0" borderId="0" xfId="4" applyFont="1" applyAlignment="1">
      <alignment horizontal="right"/>
    </xf>
    <xf numFmtId="0" fontId="26" fillId="0" borderId="0" xfId="4" applyFont="1" applyAlignment="1">
      <alignment horizontal="right" vertical="center"/>
    </xf>
    <xf numFmtId="0" fontId="28" fillId="0" borderId="0" xfId="4" applyFont="1" applyAlignment="1">
      <alignment horizontal="right" vertical="center"/>
    </xf>
    <xf numFmtId="3" fontId="54" fillId="0" borderId="0" xfId="4" applyNumberFormat="1" applyFont="1"/>
    <xf numFmtId="0" fontId="67" fillId="0" borderId="0" xfId="4" applyFont="1" applyAlignment="1">
      <alignment horizontal="left"/>
    </xf>
    <xf numFmtId="0" fontId="24" fillId="0" borderId="0" xfId="4" applyAlignment="1">
      <alignment horizontal="center"/>
    </xf>
    <xf numFmtId="3" fontId="53" fillId="0" borderId="0" xfId="4" applyNumberFormat="1" applyFont="1"/>
    <xf numFmtId="0" fontId="68" fillId="0" borderId="0" xfId="4" applyFont="1" applyAlignment="1">
      <alignment horizontal="left"/>
    </xf>
    <xf numFmtId="3" fontId="24" fillId="0" borderId="0" xfId="4" applyNumberFormat="1"/>
    <xf numFmtId="0" fontId="12" fillId="0" borderId="0" xfId="4" applyFont="1" applyAlignment="1">
      <alignment horizontal="right"/>
    </xf>
    <xf numFmtId="3" fontId="58" fillId="0" borderId="0" xfId="4" applyNumberFormat="1" applyFont="1"/>
    <xf numFmtId="0" fontId="19" fillId="0" borderId="0" xfId="4" applyFont="1" applyAlignment="1">
      <alignment horizontal="right"/>
    </xf>
    <xf numFmtId="0" fontId="23" fillId="0" borderId="0" xfId="4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4" applyFont="1" applyAlignment="1">
      <alignment horizontal="right"/>
    </xf>
    <xf numFmtId="0" fontId="20" fillId="0" borderId="0" xfId="4" applyFont="1" applyAlignment="1">
      <alignment horizontal="right" vertical="center"/>
    </xf>
    <xf numFmtId="0" fontId="19" fillId="0" borderId="0" xfId="4" applyFont="1" applyAlignment="1">
      <alignment horizontal="right" vertical="center"/>
    </xf>
    <xf numFmtId="0" fontId="24" fillId="0" borderId="0" xfId="4" applyAlignment="1">
      <alignment horizontal="right"/>
    </xf>
    <xf numFmtId="3" fontId="17" fillId="0" borderId="0" xfId="4" applyNumberFormat="1" applyFont="1"/>
    <xf numFmtId="0" fontId="17" fillId="0" borderId="0" xfId="4" applyFont="1" applyAlignment="1">
      <alignment horizontal="right"/>
    </xf>
    <xf numFmtId="3" fontId="24" fillId="0" borderId="0" xfId="4" applyNumberFormat="1" applyAlignment="1">
      <alignment horizontal="right"/>
    </xf>
    <xf numFmtId="3" fontId="12" fillId="11" borderId="59" xfId="4" applyNumberFormat="1" applyFont="1" applyFill="1" applyBorder="1" applyAlignment="1">
      <alignment vertical="center"/>
    </xf>
    <xf numFmtId="3" fontId="12" fillId="11" borderId="60" xfId="4" applyNumberFormat="1" applyFont="1" applyFill="1" applyBorder="1" applyAlignment="1">
      <alignment vertical="center"/>
    </xf>
    <xf numFmtId="3" fontId="69" fillId="0" borderId="44" xfId="4" applyNumberFormat="1" applyFont="1" applyBorder="1" applyAlignment="1">
      <alignment vertical="center"/>
    </xf>
    <xf numFmtId="3" fontId="69" fillId="0" borderId="62" xfId="4" applyNumberFormat="1" applyFont="1" applyBorder="1" applyAlignment="1">
      <alignment vertical="center"/>
    </xf>
    <xf numFmtId="0" fontId="69" fillId="0" borderId="62" xfId="4" applyFont="1" applyBorder="1" applyAlignment="1">
      <alignment horizontal="center" vertical="center"/>
    </xf>
    <xf numFmtId="49" fontId="69" fillId="0" borderId="62" xfId="4" applyNumberFormat="1" applyFont="1" applyBorder="1" applyAlignment="1">
      <alignment vertical="center"/>
    </xf>
    <xf numFmtId="0" fontId="69" fillId="0" borderId="62" xfId="4" applyFont="1" applyBorder="1" applyAlignment="1">
      <alignment vertical="center"/>
    </xf>
    <xf numFmtId="0" fontId="70" fillId="0" borderId="62" xfId="4" applyFont="1" applyBorder="1" applyAlignment="1">
      <alignment vertical="center" wrapText="1"/>
    </xf>
    <xf numFmtId="49" fontId="69" fillId="0" borderId="39" xfId="4" applyNumberFormat="1" applyFont="1" applyBorder="1" applyAlignment="1">
      <alignment vertical="center"/>
    </xf>
    <xf numFmtId="49" fontId="69" fillId="0" borderId="62" xfId="4" applyNumberFormat="1" applyFont="1" applyBorder="1" applyAlignment="1">
      <alignment horizontal="center" vertical="center"/>
    </xf>
    <xf numFmtId="3" fontId="71" fillId="5" borderId="44" xfId="4" applyNumberFormat="1" applyFont="1" applyFill="1" applyBorder="1" applyAlignment="1">
      <alignment vertical="center"/>
    </xf>
    <xf numFmtId="3" fontId="71" fillId="5" borderId="62" xfId="4" applyNumberFormat="1" applyFont="1" applyFill="1" applyBorder="1" applyAlignment="1">
      <alignment vertical="center"/>
    </xf>
    <xf numFmtId="49" fontId="72" fillId="5" borderId="62" xfId="4" applyNumberFormat="1" applyFont="1" applyFill="1" applyBorder="1" applyAlignment="1">
      <alignment horizontal="center" vertical="center"/>
    </xf>
    <xf numFmtId="0" fontId="74" fillId="0" borderId="0" xfId="4" applyFont="1"/>
    <xf numFmtId="3" fontId="75" fillId="0" borderId="0" xfId="4" applyNumberFormat="1" applyFont="1"/>
    <xf numFmtId="0" fontId="75" fillId="0" borderId="0" xfId="4" applyFont="1" applyAlignment="1">
      <alignment horizontal="right"/>
    </xf>
    <xf numFmtId="3" fontId="30" fillId="0" borderId="44" xfId="4" applyNumberFormat="1" applyFont="1" applyBorder="1" applyAlignment="1">
      <alignment vertical="center"/>
    </xf>
    <xf numFmtId="3" fontId="30" fillId="0" borderId="62" xfId="4" applyNumberFormat="1" applyFont="1" applyBorder="1" applyAlignment="1">
      <alignment vertical="center"/>
    </xf>
    <xf numFmtId="49" fontId="30" fillId="0" borderId="62" xfId="4" applyNumberFormat="1" applyFont="1" applyBorder="1" applyAlignment="1">
      <alignment horizontal="center" vertical="center" wrapText="1"/>
    </xf>
    <xf numFmtId="3" fontId="73" fillId="0" borderId="44" xfId="4" applyNumberFormat="1" applyFont="1" applyBorder="1" applyAlignment="1">
      <alignment vertical="center"/>
    </xf>
    <xf numFmtId="3" fontId="73" fillId="0" borderId="62" xfId="4" applyNumberFormat="1" applyFont="1" applyBorder="1" applyAlignment="1">
      <alignment vertical="center"/>
    </xf>
    <xf numFmtId="49" fontId="76" fillId="0" borderId="62" xfId="4" applyNumberFormat="1" applyFont="1" applyBorder="1" applyAlignment="1">
      <alignment horizontal="center" vertical="center" wrapText="1"/>
    </xf>
    <xf numFmtId="49" fontId="30" fillId="0" borderId="62" xfId="4" applyNumberFormat="1" applyFont="1" applyBorder="1" applyAlignment="1">
      <alignment horizontal="center" vertical="center"/>
    </xf>
    <xf numFmtId="49" fontId="72" fillId="5" borderId="62" xfId="4" applyNumberFormat="1" applyFont="1" applyFill="1" applyBorder="1" applyAlignment="1">
      <alignment horizontal="center" vertical="center" wrapText="1"/>
    </xf>
    <xf numFmtId="3" fontId="47" fillId="12" borderId="44" xfId="4" applyNumberFormat="1" applyFont="1" applyFill="1" applyBorder="1" applyAlignment="1">
      <alignment vertical="center"/>
    </xf>
    <xf numFmtId="3" fontId="47" fillId="12" borderId="62" xfId="4" applyNumberFormat="1" applyFont="1" applyFill="1" applyBorder="1" applyAlignment="1">
      <alignment vertical="center"/>
    </xf>
    <xf numFmtId="49" fontId="77" fillId="12" borderId="62" xfId="4" applyNumberFormat="1" applyFont="1" applyFill="1" applyBorder="1" applyAlignment="1">
      <alignment horizontal="center" vertical="center" wrapText="1"/>
    </xf>
    <xf numFmtId="3" fontId="74" fillId="0" borderId="0" xfId="4" applyNumberFormat="1" applyFont="1"/>
    <xf numFmtId="0" fontId="74" fillId="0" borderId="0" xfId="4" applyFont="1" applyAlignment="1">
      <alignment horizontal="right"/>
    </xf>
    <xf numFmtId="0" fontId="75" fillId="0" borderId="0" xfId="4" applyFont="1"/>
    <xf numFmtId="3" fontId="19" fillId="13" borderId="44" xfId="4" applyNumberFormat="1" applyFont="1" applyFill="1" applyBorder="1" applyAlignment="1">
      <alignment vertical="center"/>
    </xf>
    <xf numFmtId="3" fontId="19" fillId="13" borderId="62" xfId="4" applyNumberFormat="1" applyFont="1" applyFill="1" applyBorder="1" applyAlignment="1">
      <alignment vertical="center"/>
    </xf>
    <xf numFmtId="49" fontId="19" fillId="13" borderId="39" xfId="4" applyNumberFormat="1" applyFont="1" applyFill="1" applyBorder="1" applyAlignment="1">
      <alignment horizontal="center" vertical="center"/>
    </xf>
    <xf numFmtId="3" fontId="78" fillId="5" borderId="44" xfId="4" applyNumberFormat="1" applyFont="1" applyFill="1" applyBorder="1" applyAlignment="1">
      <alignment vertical="center"/>
    </xf>
    <xf numFmtId="3" fontId="78" fillId="5" borderId="62" xfId="4" applyNumberFormat="1" applyFont="1" applyFill="1" applyBorder="1" applyAlignment="1">
      <alignment vertical="center"/>
    </xf>
    <xf numFmtId="49" fontId="79" fillId="5" borderId="62" xfId="4" applyNumberFormat="1" applyFont="1" applyFill="1" applyBorder="1" applyAlignment="1">
      <alignment horizontal="center" vertical="center"/>
    </xf>
    <xf numFmtId="3" fontId="70" fillId="0" borderId="44" xfId="4" applyNumberFormat="1" applyFont="1" applyBorder="1" applyAlignment="1">
      <alignment vertical="center"/>
    </xf>
    <xf numFmtId="3" fontId="70" fillId="0" borderId="62" xfId="4" applyNumberFormat="1" applyFont="1" applyBorder="1" applyAlignment="1">
      <alignment vertical="center"/>
    </xf>
    <xf numFmtId="49" fontId="80" fillId="0" borderId="62" xfId="4" applyNumberFormat="1" applyFont="1" applyBorder="1" applyAlignment="1">
      <alignment horizontal="center" vertical="center" wrapText="1"/>
    </xf>
    <xf numFmtId="49" fontId="79" fillId="5" borderId="62" xfId="4" applyNumberFormat="1" applyFont="1" applyFill="1" applyBorder="1" applyAlignment="1">
      <alignment horizontal="center" vertical="center" wrapText="1"/>
    </xf>
    <xf numFmtId="3" fontId="81" fillId="12" borderId="44" xfId="4" applyNumberFormat="1" applyFont="1" applyFill="1" applyBorder="1" applyAlignment="1">
      <alignment vertical="center"/>
    </xf>
    <xf numFmtId="3" fontId="81" fillId="12" borderId="62" xfId="4" applyNumberFormat="1" applyFont="1" applyFill="1" applyBorder="1" applyAlignment="1">
      <alignment vertical="center"/>
    </xf>
    <xf numFmtId="49" fontId="82" fillId="12" borderId="62" xfId="4" applyNumberFormat="1" applyFont="1" applyFill="1" applyBorder="1" applyAlignment="1">
      <alignment horizontal="center" vertical="center" wrapText="1"/>
    </xf>
    <xf numFmtId="0" fontId="18" fillId="0" borderId="0" xfId="4" applyFont="1"/>
    <xf numFmtId="0" fontId="18" fillId="0" borderId="0" xfId="4" applyFont="1" applyAlignment="1">
      <alignment horizontal="right"/>
    </xf>
    <xf numFmtId="3" fontId="74" fillId="0" borderId="0" xfId="4" applyNumberFormat="1" applyFont="1" applyAlignment="1">
      <alignment horizontal="right"/>
    </xf>
    <xf numFmtId="3" fontId="69" fillId="0" borderId="0" xfId="4" applyNumberFormat="1" applyFont="1" applyAlignment="1">
      <alignment horizontal="center" vertical="center"/>
    </xf>
    <xf numFmtId="3" fontId="30" fillId="0" borderId="0" xfId="4" applyNumberFormat="1" applyFont="1" applyAlignment="1">
      <alignment horizontal="center" vertical="center"/>
    </xf>
    <xf numFmtId="3" fontId="75" fillId="0" borderId="0" xfId="4" applyNumberFormat="1" applyFont="1" applyAlignment="1">
      <alignment horizontal="center"/>
    </xf>
    <xf numFmtId="3" fontId="75" fillId="0" borderId="0" xfId="4" applyNumberFormat="1" applyFont="1" applyAlignment="1">
      <alignment horizontal="right"/>
    </xf>
    <xf numFmtId="3" fontId="83" fillId="0" borderId="0" xfId="4" applyNumberFormat="1" applyFont="1" applyAlignment="1">
      <alignment horizontal="center"/>
    </xf>
    <xf numFmtId="3" fontId="74" fillId="0" borderId="0" xfId="4" applyNumberFormat="1" applyFont="1" applyAlignment="1">
      <alignment horizontal="center"/>
    </xf>
    <xf numFmtId="3" fontId="84" fillId="0" borderId="0" xfId="4" applyNumberFormat="1" applyFont="1"/>
    <xf numFmtId="3" fontId="84" fillId="0" borderId="0" xfId="4" applyNumberFormat="1" applyFont="1" applyAlignment="1">
      <alignment horizontal="right"/>
    </xf>
    <xf numFmtId="0" fontId="30" fillId="0" borderId="62" xfId="4" applyFont="1" applyBorder="1" applyAlignment="1">
      <alignment horizontal="center" vertical="center"/>
    </xf>
    <xf numFmtId="49" fontId="30" fillId="0" borderId="63" xfId="4" applyNumberFormat="1" applyFont="1" applyBorder="1" applyAlignment="1">
      <alignment vertical="center"/>
    </xf>
    <xf numFmtId="0" fontId="30" fillId="0" borderId="63" xfId="4" applyFont="1" applyBorder="1" applyAlignment="1">
      <alignment vertical="center"/>
    </xf>
    <xf numFmtId="0" fontId="73" fillId="0" borderId="63" xfId="4" applyFont="1" applyBorder="1" applyAlignment="1">
      <alignment vertical="center" wrapText="1"/>
    </xf>
    <xf numFmtId="49" fontId="30" fillId="0" borderId="57" xfId="4" applyNumberFormat="1" applyFont="1" applyBorder="1" applyAlignment="1">
      <alignment vertical="center"/>
    </xf>
    <xf numFmtId="49" fontId="30" fillId="0" borderId="64" xfId="4" applyNumberFormat="1" applyFont="1" applyBorder="1" applyAlignment="1">
      <alignment vertical="center"/>
    </xf>
    <xf numFmtId="0" fontId="30" fillId="0" borderId="64" xfId="4" applyFont="1" applyBorder="1" applyAlignment="1">
      <alignment vertical="center"/>
    </xf>
    <xf numFmtId="0" fontId="73" fillId="0" borderId="64" xfId="4" applyFont="1" applyBorder="1" applyAlignment="1">
      <alignment vertical="center" wrapText="1"/>
    </xf>
    <xf numFmtId="49" fontId="30" fillId="0" borderId="54" xfId="4" applyNumberFormat="1" applyFont="1" applyBorder="1" applyAlignment="1">
      <alignment vertical="center"/>
    </xf>
    <xf numFmtId="3" fontId="30" fillId="0" borderId="40" xfId="4" applyNumberFormat="1" applyFont="1" applyBorder="1" applyAlignment="1">
      <alignment vertical="center"/>
    </xf>
    <xf numFmtId="3" fontId="30" fillId="0" borderId="63" xfId="4" applyNumberFormat="1" applyFont="1" applyBorder="1" applyAlignment="1">
      <alignment vertical="center"/>
    </xf>
    <xf numFmtId="49" fontId="30" fillId="0" borderId="63" xfId="4" applyNumberFormat="1" applyFont="1" applyBorder="1" applyAlignment="1">
      <alignment horizontal="center" vertical="center"/>
    </xf>
    <xf numFmtId="49" fontId="69" fillId="0" borderId="63" xfId="4" applyNumberFormat="1" applyFont="1" applyBorder="1" applyAlignment="1">
      <alignment vertical="center"/>
    </xf>
    <xf numFmtId="0" fontId="69" fillId="0" borderId="63" xfId="4" applyFont="1" applyBorder="1" applyAlignment="1">
      <alignment vertical="center"/>
    </xf>
    <xf numFmtId="0" fontId="70" fillId="0" borderId="63" xfId="4" applyFont="1" applyBorder="1" applyAlignment="1">
      <alignment vertical="center" wrapText="1"/>
    </xf>
    <xf numFmtId="49" fontId="69" fillId="0" borderId="57" xfId="4" applyNumberFormat="1" applyFont="1" applyBorder="1" applyAlignment="1">
      <alignment vertical="center"/>
    </xf>
    <xf numFmtId="49" fontId="69" fillId="0" borderId="64" xfId="4" applyNumberFormat="1" applyFont="1" applyBorder="1" applyAlignment="1">
      <alignment vertical="center"/>
    </xf>
    <xf numFmtId="0" fontId="69" fillId="0" borderId="64" xfId="4" applyFont="1" applyBorder="1" applyAlignment="1">
      <alignment vertical="center"/>
    </xf>
    <xf numFmtId="0" fontId="70" fillId="0" borderId="64" xfId="4" applyFont="1" applyBorder="1" applyAlignment="1">
      <alignment vertical="center" wrapText="1"/>
    </xf>
    <xf numFmtId="49" fontId="69" fillId="0" borderId="54" xfId="4" applyNumberFormat="1" applyFont="1" applyBorder="1" applyAlignment="1">
      <alignment vertical="center"/>
    </xf>
    <xf numFmtId="49" fontId="30" fillId="0" borderId="62" xfId="4" applyNumberFormat="1" applyFont="1" applyBorder="1" applyAlignment="1">
      <alignment vertical="center"/>
    </xf>
    <xf numFmtId="0" fontId="30" fillId="0" borderId="62" xfId="4" applyFont="1" applyBorder="1" applyAlignment="1">
      <alignment vertical="center"/>
    </xf>
    <xf numFmtId="0" fontId="73" fillId="0" borderId="62" xfId="4" applyFont="1" applyBorder="1" applyAlignment="1">
      <alignment vertical="center" wrapText="1"/>
    </xf>
    <xf numFmtId="49" fontId="30" fillId="0" borderId="39" xfId="4" applyNumberFormat="1" applyFont="1" applyBorder="1" applyAlignment="1">
      <alignment vertical="center"/>
    </xf>
    <xf numFmtId="3" fontId="83" fillId="0" borderId="0" xfId="4" applyNumberFormat="1" applyFont="1"/>
    <xf numFmtId="3" fontId="83" fillId="0" borderId="0" xfId="4" applyNumberFormat="1" applyFont="1" applyAlignment="1">
      <alignment horizontal="right"/>
    </xf>
    <xf numFmtId="49" fontId="69" fillId="0" borderId="65" xfId="4" applyNumberFormat="1" applyFont="1" applyBorder="1" applyAlignment="1">
      <alignment vertical="center"/>
    </xf>
    <xf numFmtId="0" fontId="70" fillId="0" borderId="65" xfId="4" applyFont="1" applyBorder="1" applyAlignment="1">
      <alignment vertical="center" wrapText="1"/>
    </xf>
    <xf numFmtId="49" fontId="69" fillId="0" borderId="66" xfId="4" applyNumberFormat="1" applyFont="1" applyBorder="1" applyAlignment="1">
      <alignment vertical="center"/>
    </xf>
    <xf numFmtId="0" fontId="74" fillId="0" borderId="0" xfId="4" applyFont="1" applyAlignment="1">
      <alignment horizontal="center"/>
    </xf>
    <xf numFmtId="0" fontId="69" fillId="0" borderId="62" xfId="4" applyFont="1" applyBorder="1" applyAlignment="1">
      <alignment vertical="center" wrapText="1"/>
    </xf>
    <xf numFmtId="0" fontId="69" fillId="0" borderId="63" xfId="4" applyFont="1" applyBorder="1" applyAlignment="1">
      <alignment vertical="center" wrapText="1"/>
    </xf>
    <xf numFmtId="0" fontId="69" fillId="0" borderId="64" xfId="4" applyFont="1" applyBorder="1" applyAlignment="1">
      <alignment vertical="center" wrapText="1"/>
    </xf>
    <xf numFmtId="0" fontId="30" fillId="0" borderId="63" xfId="4" applyFont="1" applyBorder="1" applyAlignment="1">
      <alignment horizontal="center" vertical="center"/>
    </xf>
    <xf numFmtId="0" fontId="30" fillId="0" borderId="65" xfId="4" applyFont="1" applyBorder="1" applyAlignment="1">
      <alignment horizontal="center" vertical="center"/>
    </xf>
    <xf numFmtId="3" fontId="12" fillId="13" borderId="44" xfId="4" applyNumberFormat="1" applyFont="1" applyFill="1" applyBorder="1" applyAlignment="1">
      <alignment vertical="center"/>
    </xf>
    <xf numFmtId="3" fontId="12" fillId="13" borderId="62" xfId="4" applyNumberFormat="1" applyFont="1" applyFill="1" applyBorder="1" applyAlignment="1">
      <alignment vertical="center"/>
    </xf>
    <xf numFmtId="0" fontId="85" fillId="11" borderId="44" xfId="4" applyFont="1" applyFill="1" applyBorder="1" applyAlignment="1">
      <alignment horizontal="center" vertical="center"/>
    </xf>
    <xf numFmtId="0" fontId="85" fillId="11" borderId="62" xfId="4" applyFont="1" applyFill="1" applyBorder="1" applyAlignment="1">
      <alignment horizontal="center" vertical="center"/>
    </xf>
    <xf numFmtId="49" fontId="86" fillId="11" borderId="62" xfId="4" applyNumberFormat="1" applyFont="1" applyFill="1" applyBorder="1" applyAlignment="1">
      <alignment horizontal="center" vertical="center"/>
    </xf>
    <xf numFmtId="49" fontId="86" fillId="11" borderId="39" xfId="4" applyNumberFormat="1" applyFont="1" applyFill="1" applyBorder="1" applyAlignment="1">
      <alignment horizontal="center" vertical="center"/>
    </xf>
    <xf numFmtId="0" fontId="87" fillId="11" borderId="44" xfId="4" applyFont="1" applyFill="1" applyBorder="1" applyAlignment="1">
      <alignment horizontal="center" vertical="center" wrapText="1"/>
    </xf>
    <xf numFmtId="0" fontId="87" fillId="11" borderId="62" xfId="4" applyFont="1" applyFill="1" applyBorder="1" applyAlignment="1">
      <alignment horizontal="center" vertical="center" wrapText="1"/>
    </xf>
    <xf numFmtId="0" fontId="89" fillId="0" borderId="0" xfId="4" applyFont="1" applyAlignment="1">
      <alignment horizontal="center" vertical="center" wrapText="1"/>
    </xf>
    <xf numFmtId="0" fontId="76" fillId="0" borderId="0" xfId="4" applyFont="1" applyAlignment="1">
      <alignment vertical="center" wrapText="1"/>
    </xf>
    <xf numFmtId="0" fontId="58" fillId="0" borderId="0" xfId="4" applyFont="1"/>
    <xf numFmtId="0" fontId="66" fillId="0" borderId="0" xfId="4" applyFont="1" applyAlignment="1">
      <alignment horizontal="right"/>
    </xf>
    <xf numFmtId="0" fontId="66" fillId="0" borderId="0" xfId="4" applyFont="1"/>
    <xf numFmtId="3" fontId="12" fillId="3" borderId="49" xfId="4" applyNumberFormat="1" applyFont="1" applyFill="1" applyBorder="1" applyAlignment="1">
      <alignment vertical="center"/>
    </xf>
    <xf numFmtId="3" fontId="12" fillId="3" borderId="58" xfId="4" applyNumberFormat="1" applyFont="1" applyFill="1" applyBorder="1" applyAlignment="1">
      <alignment horizontal="right" vertical="center"/>
    </xf>
    <xf numFmtId="3" fontId="23" fillId="0" borderId="70" xfId="4" applyNumberFormat="1" applyFont="1" applyBorder="1" applyAlignment="1">
      <alignment horizontal="left" vertical="center" wrapText="1"/>
    </xf>
    <xf numFmtId="3" fontId="23" fillId="0" borderId="62" xfId="4" applyNumberFormat="1" applyFont="1" applyBorder="1" applyAlignment="1">
      <alignment horizontal="right" vertical="center"/>
    </xf>
    <xf numFmtId="3" fontId="23" fillId="0" borderId="62" xfId="4" applyNumberFormat="1" applyFont="1" applyBorder="1" applyAlignment="1">
      <alignment vertical="center" wrapText="1"/>
    </xf>
    <xf numFmtId="0" fontId="23" fillId="0" borderId="62" xfId="4" applyFont="1" applyBorder="1" applyAlignment="1">
      <alignment horizontal="center" vertical="center"/>
    </xf>
    <xf numFmtId="0" fontId="23" fillId="0" borderId="39" xfId="4" applyFont="1" applyBorder="1" applyAlignment="1">
      <alignment horizontal="center" vertical="center"/>
    </xf>
    <xf numFmtId="0" fontId="12" fillId="3" borderId="62" xfId="4" applyFont="1" applyFill="1" applyBorder="1" applyAlignment="1">
      <alignment horizontal="center" vertical="center"/>
    </xf>
    <xf numFmtId="3" fontId="17" fillId="0" borderId="0" xfId="4" applyNumberFormat="1" applyFont="1" applyAlignment="1">
      <alignment horizontal="right"/>
    </xf>
    <xf numFmtId="3" fontId="12" fillId="0" borderId="0" xfId="4" applyNumberFormat="1" applyFont="1" applyAlignment="1">
      <alignment vertical="center"/>
    </xf>
    <xf numFmtId="3" fontId="12" fillId="0" borderId="0" xfId="4" applyNumberFormat="1" applyFont="1" applyAlignment="1">
      <alignment horizontal="right" vertical="center"/>
    </xf>
    <xf numFmtId="49" fontId="12" fillId="0" borderId="0" xfId="4" applyNumberFormat="1" applyFont="1" applyAlignment="1">
      <alignment horizontal="center" vertical="center"/>
    </xf>
    <xf numFmtId="0" fontId="20" fillId="0" borderId="0" xfId="4" applyFont="1" applyAlignment="1">
      <alignment horizontal="right" vertical="center" wrapText="1"/>
    </xf>
    <xf numFmtId="0" fontId="91" fillId="0" borderId="0" xfId="4" applyFont="1" applyAlignment="1">
      <alignment horizontal="center" vertical="center" wrapText="1"/>
    </xf>
    <xf numFmtId="0" fontId="76" fillId="0" borderId="0" xfId="4" applyFont="1" applyAlignment="1">
      <alignment horizontal="right" vertical="center" wrapText="1"/>
    </xf>
    <xf numFmtId="0" fontId="92" fillId="0" borderId="0" xfId="4" applyFont="1" applyAlignment="1">
      <alignment horizontal="center" vertical="center"/>
    </xf>
    <xf numFmtId="3" fontId="25" fillId="0" borderId="0" xfId="4" applyNumberFormat="1" applyFont="1" applyAlignment="1">
      <alignment vertical="center"/>
    </xf>
    <xf numFmtId="3" fontId="66" fillId="0" borderId="0" xfId="4" applyNumberFormat="1" applyFont="1" applyAlignment="1">
      <alignment vertical="center"/>
    </xf>
    <xf numFmtId="3" fontId="12" fillId="3" borderId="72" xfId="4" applyNumberFormat="1" applyFont="1" applyFill="1" applyBorder="1" applyAlignment="1">
      <alignment horizontal="right" vertical="center"/>
    </xf>
    <xf numFmtId="3" fontId="23" fillId="0" borderId="62" xfId="4" applyNumberFormat="1" applyFont="1" applyBorder="1" applyAlignment="1">
      <alignment horizontal="right" vertical="center" wrapText="1"/>
    </xf>
    <xf numFmtId="3" fontId="23" fillId="0" borderId="63" xfId="4" applyNumberFormat="1" applyFont="1" applyBorder="1" applyAlignment="1">
      <alignment horizontal="right" vertical="center"/>
    </xf>
    <xf numFmtId="0" fontId="23" fillId="0" borderId="63" xfId="4" applyFont="1" applyBorder="1" applyAlignment="1">
      <alignment horizontal="center" vertical="center"/>
    </xf>
    <xf numFmtId="0" fontId="23" fillId="0" borderId="65" xfId="4" applyFont="1" applyBorder="1" applyAlignment="1">
      <alignment horizontal="center" vertical="center"/>
    </xf>
    <xf numFmtId="0" fontId="23" fillId="0" borderId="66" xfId="4" applyFont="1" applyBorder="1" applyAlignment="1">
      <alignment horizontal="center" vertical="center"/>
    </xf>
    <xf numFmtId="0" fontId="23" fillId="0" borderId="44" xfId="4" applyFont="1" applyBorder="1" applyAlignment="1">
      <alignment horizontal="left" vertical="center" wrapText="1"/>
    </xf>
    <xf numFmtId="3" fontId="24" fillId="0" borderId="62" xfId="4" applyNumberFormat="1" applyBorder="1" applyAlignment="1">
      <alignment horizontal="right" vertical="center"/>
    </xf>
    <xf numFmtId="3" fontId="21" fillId="0" borderId="0" xfId="4" applyNumberFormat="1" applyFont="1"/>
    <xf numFmtId="3" fontId="22" fillId="0" borderId="0" xfId="4" applyNumberFormat="1" applyFont="1"/>
    <xf numFmtId="3" fontId="23" fillId="0" borderId="45" xfId="4" applyNumberFormat="1" applyFont="1" applyBorder="1" applyAlignment="1">
      <alignment horizontal="right" vertical="center" wrapText="1"/>
    </xf>
    <xf numFmtId="3" fontId="23" fillId="0" borderId="45" xfId="4" applyNumberFormat="1" applyFont="1" applyBorder="1" applyAlignment="1">
      <alignment horizontal="right" vertical="center"/>
    </xf>
    <xf numFmtId="0" fontId="25" fillId="0" borderId="0" xfId="4" applyFont="1" applyAlignment="1">
      <alignment horizontal="left"/>
    </xf>
    <xf numFmtId="0" fontId="24" fillId="0" borderId="0" xfId="4" applyAlignment="1">
      <alignment horizontal="left"/>
    </xf>
    <xf numFmtId="0" fontId="92" fillId="0" borderId="0" xfId="4" applyFont="1" applyAlignment="1">
      <alignment vertical="center"/>
    </xf>
    <xf numFmtId="3" fontId="24" fillId="0" borderId="0" xfId="4" applyNumberFormat="1" applyAlignment="1">
      <alignment horizontal="center"/>
    </xf>
    <xf numFmtId="3" fontId="21" fillId="0" borderId="0" xfId="4" applyNumberFormat="1" applyFont="1" applyAlignment="1">
      <alignment horizontal="center"/>
    </xf>
    <xf numFmtId="3" fontId="23" fillId="0" borderId="44" xfId="4" applyNumberFormat="1" applyFont="1" applyBorder="1" applyAlignment="1">
      <alignment horizontal="left" vertical="center" wrapText="1"/>
    </xf>
    <xf numFmtId="0" fontId="23" fillId="0" borderId="57" xfId="4" applyFont="1" applyBorder="1" applyAlignment="1">
      <alignment horizontal="center" vertical="center"/>
    </xf>
    <xf numFmtId="3" fontId="21" fillId="0" borderId="0" xfId="4" applyNumberFormat="1" applyFont="1" applyAlignment="1">
      <alignment horizontal="right"/>
    </xf>
    <xf numFmtId="4" fontId="24" fillId="0" borderId="0" xfId="4" applyNumberFormat="1"/>
    <xf numFmtId="3" fontId="89" fillId="2" borderId="2" xfId="4" applyNumberFormat="1" applyFont="1" applyFill="1" applyBorder="1" applyAlignment="1">
      <alignment vertical="center"/>
    </xf>
    <xf numFmtId="3" fontId="51" fillId="3" borderId="2" xfId="4" applyNumberFormat="1" applyFont="1" applyFill="1" applyBorder="1" applyAlignment="1">
      <alignment vertical="center"/>
    </xf>
    <xf numFmtId="0" fontId="51" fillId="3" borderId="10" xfId="4" applyFont="1" applyFill="1" applyBorder="1" applyAlignment="1">
      <alignment horizontal="center" vertical="center"/>
    </xf>
    <xf numFmtId="3" fontId="23" fillId="0" borderId="17" xfId="4" applyNumberFormat="1" applyFont="1" applyBorder="1" applyAlignment="1">
      <alignment vertical="center"/>
    </xf>
    <xf numFmtId="0" fontId="23" fillId="0" borderId="19" xfId="4" applyFont="1" applyBorder="1" applyAlignment="1">
      <alignment horizontal="left" vertical="center"/>
    </xf>
    <xf numFmtId="0" fontId="12" fillId="0" borderId="17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1" fontId="24" fillId="0" borderId="0" xfId="4" applyNumberFormat="1"/>
    <xf numFmtId="3" fontId="23" fillId="0" borderId="19" xfId="4" applyNumberFormat="1" applyFont="1" applyBorder="1" applyAlignment="1">
      <alignment vertical="center"/>
    </xf>
    <xf numFmtId="0" fontId="23" fillId="0" borderId="21" xfId="4" applyFont="1" applyBorder="1" applyAlignment="1">
      <alignment horizontal="left" vertical="center"/>
    </xf>
    <xf numFmtId="3" fontId="23" fillId="0" borderId="27" xfId="4" applyNumberFormat="1" applyFont="1" applyBorder="1" applyAlignment="1">
      <alignment vertical="center"/>
    </xf>
    <xf numFmtId="0" fontId="23" fillId="0" borderId="24" xfId="4" applyFont="1" applyBorder="1" applyAlignment="1">
      <alignment horizontal="left" vertical="center"/>
    </xf>
    <xf numFmtId="0" fontId="12" fillId="0" borderId="27" xfId="4" applyFont="1" applyBorder="1" applyAlignment="1">
      <alignment horizontal="center" vertical="center"/>
    </xf>
    <xf numFmtId="3" fontId="51" fillId="14" borderId="2" xfId="4" applyNumberFormat="1" applyFont="1" applyFill="1" applyBorder="1" applyAlignment="1">
      <alignment horizontal="center" vertical="center" wrapText="1"/>
    </xf>
    <xf numFmtId="0" fontId="51" fillId="14" borderId="2" xfId="4" applyFont="1" applyFill="1" applyBorder="1" applyAlignment="1">
      <alignment horizontal="center" vertical="center"/>
    </xf>
    <xf numFmtId="0" fontId="51" fillId="14" borderId="11" xfId="4" applyFont="1" applyFill="1" applyBorder="1" applyAlignment="1">
      <alignment horizontal="center" vertical="center"/>
    </xf>
    <xf numFmtId="0" fontId="63" fillId="0" borderId="23" xfId="4" applyFont="1" applyBorder="1"/>
    <xf numFmtId="0" fontId="63" fillId="0" borderId="0" xfId="4" applyFont="1"/>
    <xf numFmtId="0" fontId="63" fillId="0" borderId="28" xfId="4" applyFont="1" applyBorder="1"/>
    <xf numFmtId="3" fontId="89" fillId="2" borderId="8" xfId="4" applyNumberFormat="1" applyFont="1" applyFill="1" applyBorder="1" applyAlignment="1">
      <alignment horizontal="right" vertical="center"/>
    </xf>
    <xf numFmtId="0" fontId="89" fillId="2" borderId="2" xfId="4" applyFont="1" applyFill="1" applyBorder="1" applyAlignment="1">
      <alignment horizontal="center" vertical="center"/>
    </xf>
    <xf numFmtId="3" fontId="51" fillId="14" borderId="2" xfId="4" applyNumberFormat="1" applyFont="1" applyFill="1" applyBorder="1" applyAlignment="1">
      <alignment vertical="center"/>
    </xf>
    <xf numFmtId="0" fontId="51" fillId="14" borderId="3" xfId="4" applyFont="1" applyFill="1" applyBorder="1" applyAlignment="1">
      <alignment horizontal="center" vertical="center"/>
    </xf>
    <xf numFmtId="3" fontId="23" fillId="0" borderId="3" xfId="4" applyNumberFormat="1" applyFont="1" applyBorder="1" applyAlignment="1">
      <alignment vertical="center"/>
    </xf>
    <xf numFmtId="0" fontId="23" fillId="0" borderId="2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23" fillId="0" borderId="46" xfId="4" applyFont="1" applyBorder="1" applyAlignment="1">
      <alignment horizontal="left" vertical="center"/>
    </xf>
    <xf numFmtId="3" fontId="23" fillId="0" borderId="22" xfId="4" applyNumberFormat="1" applyFont="1" applyBorder="1" applyAlignment="1">
      <alignment vertical="center"/>
    </xf>
    <xf numFmtId="0" fontId="23" fillId="0" borderId="18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3" fontId="23" fillId="0" borderId="25" xfId="4" applyNumberFormat="1" applyFont="1" applyBorder="1" applyAlignment="1">
      <alignment vertical="center"/>
    </xf>
    <xf numFmtId="0" fontId="23" fillId="0" borderId="21" xfId="4" applyFont="1" applyBorder="1" applyAlignment="1">
      <alignment horizontal="center" vertical="center"/>
    </xf>
    <xf numFmtId="3" fontId="23" fillId="0" borderId="16" xfId="4" applyNumberFormat="1" applyFont="1" applyBorder="1" applyAlignment="1">
      <alignment vertical="center"/>
    </xf>
    <xf numFmtId="0" fontId="23" fillId="0" borderId="24" xfId="4" applyFont="1" applyBorder="1" applyAlignment="1">
      <alignment horizontal="center" vertical="center"/>
    </xf>
    <xf numFmtId="0" fontId="23" fillId="0" borderId="24" xfId="4" applyFont="1" applyBorder="1" applyAlignment="1">
      <alignment vertical="center" wrapText="1"/>
    </xf>
    <xf numFmtId="0" fontId="12" fillId="0" borderId="14" xfId="4" applyFont="1" applyBorder="1" applyAlignment="1">
      <alignment horizontal="center" vertical="center"/>
    </xf>
    <xf numFmtId="3" fontId="12" fillId="3" borderId="9" xfId="4" applyNumberFormat="1" applyFont="1" applyFill="1" applyBorder="1" applyAlignment="1">
      <alignment vertical="center"/>
    </xf>
    <xf numFmtId="0" fontId="12" fillId="3" borderId="11" xfId="4" applyFont="1" applyFill="1" applyBorder="1" applyAlignment="1">
      <alignment horizontal="center" vertical="center"/>
    </xf>
    <xf numFmtId="3" fontId="23" fillId="0" borderId="30" xfId="4" applyNumberFormat="1" applyFont="1" applyBorder="1" applyAlignment="1">
      <alignment vertical="center"/>
    </xf>
    <xf numFmtId="0" fontId="23" fillId="0" borderId="49" xfId="4" applyFont="1" applyBorder="1" applyAlignment="1">
      <alignment vertical="center" wrapText="1"/>
    </xf>
    <xf numFmtId="0" fontId="12" fillId="0" borderId="7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23" fillId="0" borderId="17" xfId="4" applyFont="1" applyBorder="1" applyAlignment="1">
      <alignment vertical="center" wrapText="1"/>
    </xf>
    <xf numFmtId="0" fontId="12" fillId="0" borderId="34" xfId="4" applyFont="1" applyBorder="1" applyAlignment="1">
      <alignment horizontal="center" vertical="center"/>
    </xf>
    <xf numFmtId="3" fontId="23" fillId="0" borderId="25" xfId="5" applyNumberFormat="1" applyFont="1" applyBorder="1" applyAlignment="1">
      <alignment vertical="center"/>
    </xf>
    <xf numFmtId="3" fontId="23" fillId="0" borderId="16" xfId="5" applyNumberFormat="1" applyFont="1" applyBorder="1" applyAlignment="1">
      <alignment vertical="center"/>
    </xf>
    <xf numFmtId="3" fontId="51" fillId="2" borderId="2" xfId="4" applyNumberFormat="1" applyFont="1" applyFill="1" applyBorder="1" applyAlignment="1">
      <alignment horizontal="center" vertical="center" wrapText="1"/>
    </xf>
    <xf numFmtId="0" fontId="51" fillId="2" borderId="2" xfId="4" applyFont="1" applyFill="1" applyBorder="1" applyAlignment="1">
      <alignment horizontal="center" vertical="center"/>
    </xf>
    <xf numFmtId="0" fontId="23" fillId="0" borderId="0" xfId="4" applyFont="1"/>
    <xf numFmtId="0" fontId="25" fillId="0" borderId="0" xfId="4" applyFont="1" applyAlignment="1">
      <alignment wrapText="1"/>
    </xf>
    <xf numFmtId="0" fontId="6" fillId="14" borderId="2" xfId="4" applyFont="1" applyFill="1" applyBorder="1"/>
    <xf numFmtId="3" fontId="11" fillId="14" borderId="2" xfId="4" applyNumberFormat="1" applyFont="1" applyFill="1" applyBorder="1" applyAlignment="1">
      <alignment horizontal="right" vertical="center"/>
    </xf>
    <xf numFmtId="0" fontId="6" fillId="14" borderId="2" xfId="4" applyFont="1" applyFill="1" applyBorder="1" applyAlignment="1">
      <alignment horizontal="center" vertical="center"/>
    </xf>
    <xf numFmtId="3" fontId="11" fillId="14" borderId="2" xfId="4" applyNumberFormat="1" applyFont="1" applyFill="1" applyBorder="1" applyAlignment="1">
      <alignment horizontal="center" vertical="center"/>
    </xf>
    <xf numFmtId="3" fontId="25" fillId="0" borderId="0" xfId="4" applyNumberFormat="1" applyFont="1" applyAlignment="1">
      <alignment wrapText="1"/>
    </xf>
    <xf numFmtId="0" fontId="6" fillId="0" borderId="2" xfId="4" applyFont="1" applyBorder="1" applyAlignment="1">
      <alignment vertical="center" wrapText="1"/>
    </xf>
    <xf numFmtId="3" fontId="6" fillId="6" borderId="2" xfId="4" applyNumberFormat="1" applyFont="1" applyFill="1" applyBorder="1" applyAlignment="1">
      <alignment horizontal="right" vertical="center"/>
    </xf>
    <xf numFmtId="0" fontId="6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center" wrapText="1"/>
    </xf>
    <xf numFmtId="3" fontId="11" fillId="0" borderId="2" xfId="5" applyNumberFormat="1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top" wrapText="1"/>
    </xf>
    <xf numFmtId="0" fontId="6" fillId="6" borderId="2" xfId="5" applyFont="1" applyFill="1" applyBorder="1" applyAlignment="1">
      <alignment vertical="center" wrapText="1"/>
    </xf>
    <xf numFmtId="3" fontId="6" fillId="6" borderId="2" xfId="5" applyNumberFormat="1" applyFont="1" applyFill="1" applyBorder="1" applyAlignment="1">
      <alignment horizontal="right" vertical="center"/>
    </xf>
    <xf numFmtId="0" fontId="6" fillId="0" borderId="2" xfId="5" applyFont="1" applyBorder="1" applyAlignment="1">
      <alignment horizontal="center" vertical="center"/>
    </xf>
    <xf numFmtId="0" fontId="35" fillId="0" borderId="0" xfId="4" applyFont="1"/>
    <xf numFmtId="0" fontId="35" fillId="0" borderId="0" xfId="4" applyFont="1" applyAlignment="1">
      <alignment wrapText="1"/>
    </xf>
    <xf numFmtId="0" fontId="6" fillId="6" borderId="2" xfId="5" applyFont="1" applyFill="1" applyBorder="1" applyAlignment="1">
      <alignment horizontal="left" vertical="center" wrapText="1"/>
    </xf>
    <xf numFmtId="3" fontId="35" fillId="0" borderId="0" xfId="4" applyNumberFormat="1" applyFont="1"/>
    <xf numFmtId="3" fontId="6" fillId="0" borderId="2" xfId="4" applyNumberFormat="1" applyFont="1" applyBorder="1" applyAlignment="1">
      <alignment horizontal="left" vertical="center" wrapText="1"/>
    </xf>
    <xf numFmtId="3" fontId="6" fillId="0" borderId="2" xfId="5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6" borderId="2" xfId="4" applyNumberFormat="1" applyFont="1" applyFill="1" applyBorder="1" applyAlignment="1">
      <alignment horizontal="left" vertical="center" wrapText="1"/>
    </xf>
    <xf numFmtId="3" fontId="6" fillId="6" borderId="2" xfId="5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left" vertical="center" wrapText="1"/>
    </xf>
    <xf numFmtId="3" fontId="93" fillId="6" borderId="0" xfId="0" applyNumberFormat="1" applyFont="1" applyFill="1" applyAlignment="1">
      <alignment horizontal="left" vertical="center" wrapText="1"/>
    </xf>
    <xf numFmtId="3" fontId="6" fillId="6" borderId="2" xfId="4" applyNumberFormat="1" applyFont="1" applyFill="1" applyBorder="1" applyAlignment="1">
      <alignment horizontal="right" vertical="center" wrapText="1"/>
    </xf>
    <xf numFmtId="0" fontId="6" fillId="6" borderId="2" xfId="4" applyFont="1" applyFill="1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11" fillId="6" borderId="2" xfId="4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3" fillId="6" borderId="0" xfId="0" applyFont="1" applyFill="1" applyAlignment="1">
      <alignment horizontal="left" vertical="center" wrapText="1"/>
    </xf>
    <xf numFmtId="0" fontId="93" fillId="6" borderId="75" xfId="0" applyFont="1" applyFill="1" applyBorder="1" applyAlignment="1">
      <alignment horizontal="left" vertical="center" wrapText="1"/>
    </xf>
    <xf numFmtId="3" fontId="11" fillId="6" borderId="2" xfId="4" applyNumberFormat="1" applyFont="1" applyFill="1" applyBorder="1" applyAlignment="1">
      <alignment horizontal="center" vertical="center"/>
    </xf>
    <xf numFmtId="49" fontId="11" fillId="6" borderId="2" xfId="4" applyNumberFormat="1" applyFont="1" applyFill="1" applyBorder="1" applyAlignment="1">
      <alignment horizontal="center" vertical="center"/>
    </xf>
    <xf numFmtId="3" fontId="23" fillId="6" borderId="2" xfId="4" applyNumberFormat="1" applyFont="1" applyFill="1" applyBorder="1" applyAlignment="1">
      <alignment horizontal="left" vertical="center" wrapText="1"/>
    </xf>
    <xf numFmtId="3" fontId="23" fillId="6" borderId="2" xfId="4" applyNumberFormat="1" applyFont="1" applyFill="1" applyBorder="1" applyAlignment="1">
      <alignment horizontal="right" vertical="center" wrapText="1"/>
    </xf>
    <xf numFmtId="0" fontId="23" fillId="6" borderId="2" xfId="4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33" fillId="0" borderId="0" xfId="4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0" fontId="95" fillId="0" borderId="0" xfId="4" applyFont="1" applyAlignment="1">
      <alignment horizontal="center" vertical="center" wrapText="1"/>
    </xf>
    <xf numFmtId="0" fontId="80" fillId="0" borderId="0" xfId="4" applyFont="1" applyAlignment="1">
      <alignment vertical="center" wrapText="1"/>
    </xf>
    <xf numFmtId="0" fontId="80" fillId="0" borderId="0" xfId="4" applyFont="1" applyAlignment="1">
      <alignment horizontal="center" vertical="center" wrapText="1"/>
    </xf>
    <xf numFmtId="49" fontId="25" fillId="0" borderId="0" xfId="4" applyNumberFormat="1" applyFont="1" applyAlignment="1">
      <alignment horizontal="center" vertical="center"/>
    </xf>
    <xf numFmtId="0" fontId="97" fillId="0" borderId="0" xfId="4" applyFont="1"/>
    <xf numFmtId="0" fontId="97" fillId="0" borderId="0" xfId="4" applyFont="1" applyAlignment="1">
      <alignment horizontal="center"/>
    </xf>
    <xf numFmtId="49" fontId="97" fillId="0" borderId="0" xfId="4" applyNumberFormat="1" applyFont="1" applyAlignment="1">
      <alignment horizontal="center" vertical="center"/>
    </xf>
    <xf numFmtId="49" fontId="97" fillId="0" borderId="0" xfId="4" applyNumberFormat="1" applyFont="1" applyAlignment="1">
      <alignment horizontal="center"/>
    </xf>
    <xf numFmtId="3" fontId="97" fillId="0" borderId="0" xfId="4" applyNumberFormat="1" applyFont="1" applyAlignment="1">
      <alignment horizontal="right"/>
    </xf>
    <xf numFmtId="0" fontId="25" fillId="0" borderId="0" xfId="4" applyFont="1" applyAlignment="1">
      <alignment vertical="center"/>
    </xf>
    <xf numFmtId="3" fontId="97" fillId="0" borderId="0" xfId="4" applyNumberFormat="1" applyFont="1" applyAlignment="1">
      <alignment horizontal="right" vertical="center"/>
    </xf>
    <xf numFmtId="0" fontId="24" fillId="0" borderId="0" xfId="4" applyAlignment="1">
      <alignment vertical="center"/>
    </xf>
    <xf numFmtId="3" fontId="92" fillId="0" borderId="0" xfId="4" applyNumberFormat="1" applyFont="1" applyAlignment="1">
      <alignment horizontal="right" vertical="center"/>
    </xf>
    <xf numFmtId="2" fontId="92" fillId="0" borderId="0" xfId="4" applyNumberFormat="1" applyFont="1" applyAlignment="1">
      <alignment horizontal="center" vertical="center"/>
    </xf>
    <xf numFmtId="49" fontId="92" fillId="0" borderId="0" xfId="4" applyNumberFormat="1" applyFont="1" applyAlignment="1">
      <alignment horizontal="center" vertical="center"/>
    </xf>
    <xf numFmtId="4" fontId="92" fillId="0" borderId="0" xfId="4" applyNumberFormat="1" applyFont="1" applyAlignment="1">
      <alignment horizontal="right" vertical="center"/>
    </xf>
    <xf numFmtId="4" fontId="92" fillId="0" borderId="0" xfId="4" applyNumberFormat="1" applyFont="1" applyAlignment="1">
      <alignment horizontal="center" vertical="center"/>
    </xf>
    <xf numFmtId="3" fontId="97" fillId="0" borderId="0" xfId="4" applyNumberFormat="1" applyFont="1" applyAlignment="1">
      <alignment horizontal="center" vertical="center"/>
    </xf>
    <xf numFmtId="0" fontId="63" fillId="3" borderId="2" xfId="4" applyFont="1" applyFill="1" applyBorder="1" applyAlignment="1">
      <alignment horizontal="center" vertical="center" wrapText="1"/>
    </xf>
    <xf numFmtId="3" fontId="51" fillId="3" borderId="2" xfId="4" applyNumberFormat="1" applyFont="1" applyFill="1" applyBorder="1" applyAlignment="1">
      <alignment horizontal="right" vertical="center"/>
    </xf>
    <xf numFmtId="3" fontId="51" fillId="3" borderId="11" xfId="4" applyNumberFormat="1" applyFont="1" applyFill="1" applyBorder="1" applyAlignment="1">
      <alignment horizontal="right" vertical="center"/>
    </xf>
    <xf numFmtId="3" fontId="51" fillId="3" borderId="2" xfId="4" applyNumberFormat="1" applyFont="1" applyFill="1" applyBorder="1" applyAlignment="1">
      <alignment horizontal="center" vertical="center" wrapText="1"/>
    </xf>
    <xf numFmtId="3" fontId="63" fillId="0" borderId="6" xfId="4" applyNumberFormat="1" applyFont="1" applyBorder="1" applyAlignment="1">
      <alignment horizontal="right" vertical="center"/>
    </xf>
    <xf numFmtId="3" fontId="63" fillId="0" borderId="1" xfId="4" applyNumberFormat="1" applyFont="1" applyBorder="1" applyAlignment="1">
      <alignment horizontal="right" vertical="center"/>
    </xf>
    <xf numFmtId="3" fontId="63" fillId="0" borderId="19" xfId="4" applyNumberFormat="1" applyFont="1" applyBorder="1" applyAlignment="1">
      <alignment horizontal="right" vertical="center" wrapText="1"/>
    </xf>
    <xf numFmtId="0" fontId="63" fillId="0" borderId="25" xfId="4" applyFont="1" applyBorder="1" applyAlignment="1">
      <alignment horizontal="center" vertical="center"/>
    </xf>
    <xf numFmtId="3" fontId="63" fillId="0" borderId="19" xfId="4" applyNumberFormat="1" applyFont="1" applyBorder="1" applyAlignment="1">
      <alignment horizontal="right" vertical="center"/>
    </xf>
    <xf numFmtId="3" fontId="63" fillId="6" borderId="21" xfId="4" applyNumberFormat="1" applyFont="1" applyFill="1" applyBorder="1" applyAlignment="1">
      <alignment horizontal="right" vertical="center"/>
    </xf>
    <xf numFmtId="3" fontId="63" fillId="0" borderId="27" xfId="4" applyNumberFormat="1" applyFont="1" applyBorder="1" applyAlignment="1">
      <alignment horizontal="right" vertical="center"/>
    </xf>
    <xf numFmtId="3" fontId="63" fillId="6" borderId="13" xfId="4" applyNumberFormat="1" applyFont="1" applyFill="1" applyBorder="1" applyAlignment="1">
      <alignment horizontal="right" vertical="center"/>
    </xf>
    <xf numFmtId="3" fontId="63" fillId="0" borderId="3" xfId="4" applyNumberFormat="1" applyFont="1" applyBorder="1" applyAlignment="1">
      <alignment horizontal="right" vertical="center" wrapText="1"/>
    </xf>
    <xf numFmtId="0" fontId="63" fillId="0" borderId="37" xfId="4" applyFont="1" applyBorder="1" applyAlignment="1">
      <alignment horizontal="center" vertical="center"/>
    </xf>
    <xf numFmtId="0" fontId="63" fillId="0" borderId="3" xfId="4" applyFont="1" applyBorder="1" applyAlignment="1">
      <alignment vertical="center" wrapText="1"/>
    </xf>
    <xf numFmtId="3" fontId="63" fillId="0" borderId="3" xfId="4" applyNumberFormat="1" applyFont="1" applyBorder="1" applyAlignment="1">
      <alignment horizontal="right" vertical="center"/>
    </xf>
    <xf numFmtId="3" fontId="63" fillId="6" borderId="32" xfId="4" applyNumberFormat="1" applyFont="1" applyFill="1" applyBorder="1" applyAlignment="1">
      <alignment horizontal="right" vertical="center"/>
    </xf>
    <xf numFmtId="0" fontId="63" fillId="0" borderId="5" xfId="4" applyFont="1" applyBorder="1" applyAlignment="1">
      <alignment horizontal="center" vertical="center"/>
    </xf>
    <xf numFmtId="49" fontId="51" fillId="0" borderId="3" xfId="4" applyNumberFormat="1" applyFont="1" applyBorder="1" applyAlignment="1">
      <alignment horizontal="center" vertical="center"/>
    </xf>
    <xf numFmtId="49" fontId="51" fillId="0" borderId="12" xfId="4" applyNumberFormat="1" applyFont="1" applyBorder="1" applyAlignment="1">
      <alignment horizontal="center" vertical="center"/>
    </xf>
    <xf numFmtId="0" fontId="51" fillId="0" borderId="28" xfId="4" applyFont="1" applyBorder="1" applyAlignment="1">
      <alignment horizontal="center" vertical="center"/>
    </xf>
    <xf numFmtId="0" fontId="93" fillId="0" borderId="6" xfId="4" applyFont="1" applyBorder="1" applyAlignment="1">
      <alignment vertical="center" wrapText="1"/>
    </xf>
    <xf numFmtId="3" fontId="93" fillId="0" borderId="3" xfId="4" applyNumberFormat="1" applyFont="1" applyBorder="1" applyAlignment="1">
      <alignment horizontal="right" vertical="center"/>
    </xf>
    <xf numFmtId="3" fontId="93" fillId="6" borderId="32" xfId="4" applyNumberFormat="1" applyFont="1" applyFill="1" applyBorder="1" applyAlignment="1">
      <alignment horizontal="right" vertical="center"/>
    </xf>
    <xf numFmtId="3" fontId="93" fillId="0" borderId="3" xfId="4" applyNumberFormat="1" applyFont="1" applyBorder="1" applyAlignment="1">
      <alignment horizontal="right" vertical="center" wrapText="1"/>
    </xf>
    <xf numFmtId="0" fontId="93" fillId="0" borderId="5" xfId="4" applyFont="1" applyBorder="1" applyAlignment="1">
      <alignment horizontal="center" vertical="center"/>
    </xf>
    <xf numFmtId="49" fontId="64" fillId="0" borderId="3" xfId="4" applyNumberFormat="1" applyFont="1" applyBorder="1" applyAlignment="1">
      <alignment horizontal="center" vertical="center"/>
    </xf>
    <xf numFmtId="0" fontId="93" fillId="0" borderId="2" xfId="4" applyFont="1" applyBorder="1" applyAlignment="1">
      <alignment vertical="center" wrapText="1"/>
    </xf>
    <xf numFmtId="0" fontId="63" fillId="0" borderId="2" xfId="4" applyFont="1" applyBorder="1" applyAlignment="1">
      <alignment vertical="center" wrapText="1"/>
    </xf>
    <xf numFmtId="3" fontId="63" fillId="0" borderId="2" xfId="4" applyNumberFormat="1" applyFont="1" applyBorder="1" applyAlignment="1">
      <alignment horizontal="right" vertical="center"/>
    </xf>
    <xf numFmtId="3" fontId="63" fillId="6" borderId="11" xfId="4" applyNumberFormat="1" applyFont="1" applyFill="1" applyBorder="1" applyAlignment="1">
      <alignment horizontal="right" vertical="center"/>
    </xf>
    <xf numFmtId="3" fontId="63" fillId="0" borderId="27" xfId="4" applyNumberFormat="1" applyFont="1" applyBorder="1" applyAlignment="1">
      <alignment horizontal="right" vertical="center" wrapText="1"/>
    </xf>
    <xf numFmtId="0" fontId="63" fillId="0" borderId="9" xfId="4" applyFont="1" applyBorder="1" applyAlignment="1">
      <alignment horizontal="center" vertical="center"/>
    </xf>
    <xf numFmtId="49" fontId="51" fillId="0" borderId="2" xfId="4" applyNumberFormat="1" applyFont="1" applyBorder="1" applyAlignment="1">
      <alignment horizontal="center" vertical="center"/>
    </xf>
    <xf numFmtId="3" fontId="93" fillId="0" borderId="2" xfId="4" applyNumberFormat="1" applyFont="1" applyBorder="1" applyAlignment="1">
      <alignment horizontal="right" vertical="center"/>
    </xf>
    <xf numFmtId="3" fontId="93" fillId="6" borderId="11" xfId="4" applyNumberFormat="1" applyFont="1" applyFill="1" applyBorder="1" applyAlignment="1">
      <alignment horizontal="right" vertical="center"/>
    </xf>
    <xf numFmtId="3" fontId="93" fillId="0" borderId="27" xfId="4" applyNumberFormat="1" applyFont="1" applyBorder="1" applyAlignment="1">
      <alignment horizontal="right" vertical="center" wrapText="1"/>
    </xf>
    <xf numFmtId="0" fontId="93" fillId="0" borderId="9" xfId="4" applyFont="1" applyBorder="1" applyAlignment="1">
      <alignment horizontal="center" vertical="center"/>
    </xf>
    <xf numFmtId="49" fontId="64" fillId="0" borderId="2" xfId="4" applyNumberFormat="1" applyFont="1" applyBorder="1" applyAlignment="1">
      <alignment horizontal="center" vertical="center"/>
    </xf>
    <xf numFmtId="3" fontId="93" fillId="0" borderId="2" xfId="4" applyNumberFormat="1" applyFont="1" applyBorder="1" applyAlignment="1">
      <alignment horizontal="right" vertical="center" wrapText="1"/>
    </xf>
    <xf numFmtId="0" fontId="51" fillId="0" borderId="10" xfId="4" applyFont="1" applyBorder="1" applyAlignment="1">
      <alignment horizontal="center" vertical="center"/>
    </xf>
    <xf numFmtId="0" fontId="93" fillId="0" borderId="30" xfId="4" applyFont="1" applyBorder="1" applyAlignment="1">
      <alignment vertical="center" wrapText="1"/>
    </xf>
    <xf numFmtId="3" fontId="93" fillId="0" borderId="30" xfId="4" applyNumberFormat="1" applyFont="1" applyBorder="1" applyAlignment="1">
      <alignment horizontal="right" vertical="center"/>
    </xf>
    <xf numFmtId="3" fontId="93" fillId="6" borderId="29" xfId="4" applyNumberFormat="1" applyFont="1" applyFill="1" applyBorder="1" applyAlignment="1">
      <alignment horizontal="right" vertical="center"/>
    </xf>
    <xf numFmtId="3" fontId="93" fillId="0" borderId="30" xfId="4" applyNumberFormat="1" applyFont="1" applyBorder="1" applyAlignment="1">
      <alignment horizontal="right" vertical="center" wrapText="1"/>
    </xf>
    <xf numFmtId="0" fontId="93" fillId="0" borderId="33" xfId="4" applyFont="1" applyBorder="1" applyAlignment="1">
      <alignment horizontal="center" vertical="center"/>
    </xf>
    <xf numFmtId="49" fontId="64" fillId="0" borderId="30" xfId="4" applyNumberFormat="1" applyFont="1" applyBorder="1" applyAlignment="1">
      <alignment horizontal="center" vertical="center"/>
    </xf>
    <xf numFmtId="0" fontId="93" fillId="0" borderId="27" xfId="4" applyFont="1" applyBorder="1" applyAlignment="1">
      <alignment vertical="center" wrapText="1"/>
    </xf>
    <xf numFmtId="3" fontId="93" fillId="0" borderId="27" xfId="4" applyNumberFormat="1" applyFont="1" applyBorder="1" applyAlignment="1">
      <alignment horizontal="right" vertical="center"/>
    </xf>
    <xf numFmtId="3" fontId="93" fillId="6" borderId="13" xfId="4" applyNumberFormat="1" applyFont="1" applyFill="1" applyBorder="1" applyAlignment="1">
      <alignment horizontal="right" vertical="center"/>
    </xf>
    <xf numFmtId="0" fontId="93" fillId="0" borderId="37" xfId="4" applyFont="1" applyBorder="1" applyAlignment="1">
      <alignment horizontal="center" vertical="center"/>
    </xf>
    <xf numFmtId="49" fontId="64" fillId="0" borderId="27" xfId="4" applyNumberFormat="1" applyFont="1" applyBorder="1" applyAlignment="1">
      <alignment horizontal="center" vertical="center"/>
    </xf>
    <xf numFmtId="3" fontId="93" fillId="0" borderId="6" xfId="4" applyNumberFormat="1" applyFont="1" applyBorder="1" applyAlignment="1">
      <alignment horizontal="right" vertical="center"/>
    </xf>
    <xf numFmtId="3" fontId="93" fillId="6" borderId="1" xfId="4" applyNumberFormat="1" applyFont="1" applyFill="1" applyBorder="1" applyAlignment="1">
      <alignment horizontal="right" vertical="center"/>
    </xf>
    <xf numFmtId="3" fontId="93" fillId="0" borderId="6" xfId="4" applyNumberFormat="1" applyFont="1" applyBorder="1" applyAlignment="1">
      <alignment horizontal="right" vertical="center" wrapText="1"/>
    </xf>
    <xf numFmtId="0" fontId="93" fillId="0" borderId="8" xfId="4" applyFont="1" applyBorder="1" applyAlignment="1">
      <alignment horizontal="center" vertical="center"/>
    </xf>
    <xf numFmtId="49" fontId="64" fillId="0" borderId="6" xfId="4" applyNumberFormat="1" applyFont="1" applyBorder="1" applyAlignment="1">
      <alignment horizontal="center" vertical="center"/>
    </xf>
    <xf numFmtId="0" fontId="93" fillId="0" borderId="19" xfId="4" applyFont="1" applyBorder="1" applyAlignment="1">
      <alignment vertical="center" wrapText="1"/>
    </xf>
    <xf numFmtId="3" fontId="93" fillId="0" borderId="19" xfId="4" applyNumberFormat="1" applyFont="1" applyBorder="1" applyAlignment="1">
      <alignment horizontal="right" vertical="center"/>
    </xf>
    <xf numFmtId="3" fontId="93" fillId="6" borderId="21" xfId="4" applyNumberFormat="1" applyFont="1" applyFill="1" applyBorder="1" applyAlignment="1">
      <alignment horizontal="right" vertical="center"/>
    </xf>
    <xf numFmtId="3" fontId="93" fillId="0" borderId="19" xfId="4" applyNumberFormat="1" applyFont="1" applyBorder="1" applyAlignment="1">
      <alignment horizontal="right" vertical="center" wrapText="1"/>
    </xf>
    <xf numFmtId="0" fontId="93" fillId="0" borderId="25" xfId="4" applyFont="1" applyBorder="1" applyAlignment="1">
      <alignment horizontal="center" vertical="center"/>
    </xf>
    <xf numFmtId="49" fontId="64" fillId="0" borderId="19" xfId="4" applyNumberFormat="1" applyFont="1" applyBorder="1" applyAlignment="1">
      <alignment horizontal="center" vertical="center"/>
    </xf>
    <xf numFmtId="0" fontId="93" fillId="0" borderId="27" xfId="4" applyFont="1" applyBorder="1" applyAlignment="1">
      <alignment horizontal="left" vertical="center" wrapText="1"/>
    </xf>
    <xf numFmtId="0" fontId="93" fillId="0" borderId="3" xfId="4" applyFont="1" applyBorder="1" applyAlignment="1">
      <alignment horizontal="left" vertical="center" wrapText="1"/>
    </xf>
    <xf numFmtId="3" fontId="93" fillId="6" borderId="32" xfId="4" applyNumberFormat="1" applyFont="1" applyFill="1" applyBorder="1" applyAlignment="1">
      <alignment horizontal="right" vertical="center" wrapText="1"/>
    </xf>
    <xf numFmtId="0" fontId="93" fillId="0" borderId="5" xfId="4" applyFont="1" applyBorder="1" applyAlignment="1">
      <alignment horizontal="center" vertical="center" wrapText="1"/>
    </xf>
    <xf numFmtId="0" fontId="64" fillId="0" borderId="3" xfId="4" applyFont="1" applyBorder="1" applyAlignment="1">
      <alignment horizontal="center" vertical="center"/>
    </xf>
    <xf numFmtId="0" fontId="51" fillId="0" borderId="3" xfId="4" applyFont="1" applyBorder="1" applyAlignment="1">
      <alignment horizontal="center" vertical="center"/>
    </xf>
    <xf numFmtId="0" fontId="63" fillId="0" borderId="2" xfId="4" applyFont="1" applyBorder="1" applyAlignment="1">
      <alignment horizontal="left" vertical="center" wrapText="1"/>
    </xf>
    <xf numFmtId="3" fontId="63" fillId="0" borderId="2" xfId="4" applyNumberFormat="1" applyFont="1" applyBorder="1" applyAlignment="1">
      <alignment horizontal="right" vertical="center" wrapText="1"/>
    </xf>
    <xf numFmtId="3" fontId="63" fillId="0" borderId="29" xfId="4" applyNumberFormat="1" applyFont="1" applyBorder="1" applyAlignment="1">
      <alignment horizontal="right" vertical="center" wrapText="1"/>
    </xf>
    <xf numFmtId="0" fontId="63" fillId="0" borderId="9" xfId="4" applyFont="1" applyBorder="1" applyAlignment="1">
      <alignment horizontal="center" vertical="center" wrapText="1"/>
    </xf>
    <xf numFmtId="0" fontId="93" fillId="0" borderId="2" xfId="4" applyFont="1" applyBorder="1" applyAlignment="1">
      <alignment horizontal="left" vertical="center" wrapText="1"/>
    </xf>
    <xf numFmtId="3" fontId="93" fillId="0" borderId="29" xfId="4" applyNumberFormat="1" applyFont="1" applyBorder="1" applyAlignment="1">
      <alignment horizontal="right" vertical="center" wrapText="1"/>
    </xf>
    <xf numFmtId="0" fontId="93" fillId="0" borderId="9" xfId="4" applyFont="1" applyBorder="1" applyAlignment="1">
      <alignment horizontal="center" vertical="center" wrapText="1"/>
    </xf>
    <xf numFmtId="0" fontId="63" fillId="0" borderId="30" xfId="4" applyFont="1" applyBorder="1" applyAlignment="1">
      <alignment horizontal="left" vertical="center" wrapText="1"/>
    </xf>
    <xf numFmtId="3" fontId="63" fillId="0" borderId="30" xfId="4" applyNumberFormat="1" applyFont="1" applyBorder="1" applyAlignment="1">
      <alignment horizontal="right" vertical="center" wrapText="1"/>
    </xf>
    <xf numFmtId="0" fontId="63" fillId="0" borderId="33" xfId="4" applyFont="1" applyBorder="1" applyAlignment="1">
      <alignment horizontal="center" vertical="center" wrapText="1"/>
    </xf>
    <xf numFmtId="49" fontId="51" fillId="0" borderId="30" xfId="4" applyNumberFormat="1" applyFont="1" applyBorder="1" applyAlignment="1">
      <alignment horizontal="center" vertical="center"/>
    </xf>
    <xf numFmtId="0" fontId="51" fillId="0" borderId="31" xfId="4" applyFont="1" applyBorder="1" applyAlignment="1">
      <alignment horizontal="center" vertical="center"/>
    </xf>
    <xf numFmtId="0" fontId="64" fillId="14" borderId="2" xfId="4" applyFont="1" applyFill="1" applyBorder="1" applyAlignment="1">
      <alignment horizontal="center" vertical="center" wrapText="1"/>
    </xf>
    <xf numFmtId="0" fontId="64" fillId="14" borderId="9" xfId="4" applyFont="1" applyFill="1" applyBorder="1" applyAlignment="1">
      <alignment horizontal="center" vertical="center" wrapText="1"/>
    </xf>
    <xf numFmtId="0" fontId="98" fillId="0" borderId="0" xfId="4" applyFont="1" applyAlignment="1">
      <alignment horizontal="right" vertical="center" wrapText="1"/>
    </xf>
    <xf numFmtId="0" fontId="99" fillId="0" borderId="0" xfId="4" applyFont="1" applyAlignment="1">
      <alignment horizontal="center" vertical="center"/>
    </xf>
    <xf numFmtId="0" fontId="100" fillId="14" borderId="2" xfId="4" applyFont="1" applyFill="1" applyBorder="1" applyAlignment="1">
      <alignment vertical="center"/>
    </xf>
    <xf numFmtId="3" fontId="51" fillId="14" borderId="2" xfId="4" applyNumberFormat="1" applyFont="1" applyFill="1" applyBorder="1" applyAlignment="1">
      <alignment horizontal="right" vertical="center"/>
    </xf>
    <xf numFmtId="49" fontId="51" fillId="14" borderId="2" xfId="4" applyNumberFormat="1" applyFont="1" applyFill="1" applyBorder="1" applyAlignment="1">
      <alignment horizontal="center" vertical="center"/>
    </xf>
    <xf numFmtId="49" fontId="63" fillId="0" borderId="2" xfId="4" applyNumberFormat="1" applyFont="1" applyBorder="1" applyAlignment="1">
      <alignment horizontal="center" vertical="center"/>
    </xf>
    <xf numFmtId="49" fontId="63" fillId="0" borderId="2" xfId="4" applyNumberFormat="1" applyFont="1" applyBorder="1" applyAlignment="1">
      <alignment horizontal="center" vertical="center" wrapText="1"/>
    </xf>
    <xf numFmtId="0" fontId="51" fillId="14" borderId="2" xfId="4" applyFont="1" applyFill="1" applyBorder="1" applyAlignment="1">
      <alignment horizontal="center" vertical="center" wrapText="1"/>
    </xf>
    <xf numFmtId="0" fontId="23" fillId="0" borderId="0" xfId="4" applyFont="1" applyAlignment="1">
      <alignment vertical="center"/>
    </xf>
    <xf numFmtId="0" fontId="100" fillId="3" borderId="2" xfId="4" applyFont="1" applyFill="1" applyBorder="1" applyAlignment="1">
      <alignment horizontal="center" vertical="center" wrapText="1"/>
    </xf>
    <xf numFmtId="3" fontId="89" fillId="3" borderId="2" xfId="4" applyNumberFormat="1" applyFont="1" applyFill="1" applyBorder="1" applyAlignment="1">
      <alignment horizontal="right" vertical="center"/>
    </xf>
    <xf numFmtId="3" fontId="89" fillId="3" borderId="9" xfId="4" applyNumberFormat="1" applyFont="1" applyFill="1" applyBorder="1" applyAlignment="1">
      <alignment horizontal="right" vertical="center"/>
    </xf>
    <xf numFmtId="3" fontId="89" fillId="3" borderId="11" xfId="4" applyNumberFormat="1" applyFont="1" applyFill="1" applyBorder="1" applyAlignment="1">
      <alignment horizontal="right" vertical="center"/>
    </xf>
    <xf numFmtId="0" fontId="63" fillId="0" borderId="6" xfId="4" applyFont="1" applyBorder="1" applyAlignment="1">
      <alignment horizontal="left" vertical="center" wrapText="1"/>
    </xf>
    <xf numFmtId="3" fontId="63" fillId="0" borderId="6" xfId="4" applyNumberFormat="1" applyFont="1" applyBorder="1" applyAlignment="1">
      <alignment horizontal="center" vertical="center" wrapText="1"/>
    </xf>
    <xf numFmtId="3" fontId="63" fillId="0" borderId="21" xfId="4" applyNumberFormat="1" applyFont="1" applyBorder="1" applyAlignment="1">
      <alignment horizontal="right" vertical="center"/>
    </xf>
    <xf numFmtId="1" fontId="63" fillId="6" borderId="27" xfId="4" applyNumberFormat="1" applyFont="1" applyFill="1" applyBorder="1" applyAlignment="1">
      <alignment horizontal="center" vertical="center"/>
    </xf>
    <xf numFmtId="49" fontId="63" fillId="0" borderId="10" xfId="4" applyNumberFormat="1" applyFont="1" applyBorder="1" applyAlignment="1">
      <alignment horizontal="center" vertical="center"/>
    </xf>
    <xf numFmtId="0" fontId="27" fillId="15" borderId="2" xfId="4" applyFont="1" applyFill="1" applyBorder="1"/>
    <xf numFmtId="3" fontId="51" fillId="15" borderId="2" xfId="4" applyNumberFormat="1" applyFont="1" applyFill="1" applyBorder="1" applyAlignment="1">
      <alignment horizontal="right" vertical="center"/>
    </xf>
    <xf numFmtId="3" fontId="51" fillId="15" borderId="11" xfId="4" applyNumberFormat="1" applyFont="1" applyFill="1" applyBorder="1" applyAlignment="1">
      <alignment horizontal="right" vertical="center"/>
    </xf>
    <xf numFmtId="3" fontId="63" fillId="0" borderId="30" xfId="4" applyNumberFormat="1" applyFont="1" applyBorder="1" applyAlignment="1">
      <alignment horizontal="center" vertical="center" wrapText="1"/>
    </xf>
    <xf numFmtId="3" fontId="63" fillId="0" borderId="29" xfId="4" applyNumberFormat="1" applyFont="1" applyBorder="1" applyAlignment="1">
      <alignment horizontal="right" vertical="center"/>
    </xf>
    <xf numFmtId="3" fontId="63" fillId="0" borderId="30" xfId="4" applyNumberFormat="1" applyFont="1" applyBorder="1" applyAlignment="1">
      <alignment horizontal="right" vertical="center"/>
    </xf>
    <xf numFmtId="3" fontId="63" fillId="0" borderId="31" xfId="4" applyNumberFormat="1" applyFont="1" applyBorder="1" applyAlignment="1">
      <alignment horizontal="right" vertical="center"/>
    </xf>
    <xf numFmtId="49" fontId="63" fillId="0" borderId="6" xfId="4" applyNumberFormat="1" applyFont="1" applyBorder="1" applyAlignment="1">
      <alignment horizontal="center" vertical="center" wrapText="1"/>
    </xf>
    <xf numFmtId="49" fontId="63" fillId="0" borderId="0" xfId="4" applyNumberFormat="1" applyFont="1" applyAlignment="1">
      <alignment horizontal="center" vertical="center"/>
    </xf>
    <xf numFmtId="0" fontId="63" fillId="0" borderId="19" xfId="4" applyFont="1" applyBorder="1" applyAlignment="1">
      <alignment horizontal="left" vertical="center" wrapText="1"/>
    </xf>
    <xf numFmtId="3" fontId="63" fillId="0" borderId="19" xfId="4" applyNumberFormat="1" applyFont="1" applyBorder="1" applyAlignment="1">
      <alignment horizontal="center" vertical="center" wrapText="1"/>
    </xf>
    <xf numFmtId="49" fontId="63" fillId="0" borderId="27" xfId="4" applyNumberFormat="1" applyFont="1" applyBorder="1" applyAlignment="1">
      <alignment horizontal="center" vertical="center" wrapText="1"/>
    </xf>
    <xf numFmtId="49" fontId="63" fillId="0" borderId="20" xfId="4" applyNumberFormat="1" applyFont="1" applyBorder="1" applyAlignment="1">
      <alignment horizontal="center" vertical="center"/>
    </xf>
    <xf numFmtId="0" fontId="23" fillId="15" borderId="2" xfId="4" applyFont="1" applyFill="1" applyBorder="1"/>
    <xf numFmtId="3" fontId="19" fillId="15" borderId="2" xfId="4" applyNumberFormat="1" applyFont="1" applyFill="1" applyBorder="1" applyAlignment="1">
      <alignment horizontal="right" vertical="center"/>
    </xf>
    <xf numFmtId="3" fontId="51" fillId="15" borderId="77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 wrapText="1"/>
    </xf>
    <xf numFmtId="0" fontId="85" fillId="0" borderId="0" xfId="4" applyFont="1" applyAlignment="1">
      <alignment wrapText="1"/>
    </xf>
    <xf numFmtId="0" fontId="100" fillId="2" borderId="9" xfId="4" applyFont="1" applyFill="1" applyBorder="1" applyAlignment="1">
      <alignment horizontal="center" vertical="center" wrapText="1"/>
    </xf>
    <xf numFmtId="3" fontId="51" fillId="2" borderId="10" xfId="4" applyNumberFormat="1" applyFont="1" applyFill="1" applyBorder="1" applyAlignment="1">
      <alignment horizontal="right" vertical="center"/>
    </xf>
    <xf numFmtId="49" fontId="51" fillId="2" borderId="2" xfId="4" applyNumberFormat="1" applyFont="1" applyFill="1" applyBorder="1" applyAlignment="1">
      <alignment horizontal="center" vertical="center"/>
    </xf>
    <xf numFmtId="0" fontId="63" fillId="0" borderId="8" xfId="4" applyFont="1" applyBorder="1" applyAlignment="1">
      <alignment horizontal="left" vertical="center" wrapText="1"/>
    </xf>
    <xf numFmtId="3" fontId="51" fillId="0" borderId="1" xfId="4" applyNumberFormat="1" applyFont="1" applyBorder="1" applyAlignment="1">
      <alignment horizontal="right" vertical="center"/>
    </xf>
    <xf numFmtId="49" fontId="63" fillId="0" borderId="38" xfId="4" applyNumberFormat="1" applyFont="1" applyBorder="1" applyAlignment="1">
      <alignment horizontal="center" vertical="center" wrapText="1"/>
    </xf>
    <xf numFmtId="49" fontId="63" fillId="0" borderId="78" xfId="4" applyNumberFormat="1" applyFont="1" applyBorder="1" applyAlignment="1">
      <alignment horizontal="center" vertical="center" wrapText="1"/>
    </xf>
    <xf numFmtId="49" fontId="51" fillId="0" borderId="55" xfId="4" applyNumberFormat="1" applyFont="1" applyBorder="1" applyAlignment="1">
      <alignment horizontal="center" vertical="center"/>
    </xf>
    <xf numFmtId="0" fontId="63" fillId="3" borderId="9" xfId="4" applyFont="1" applyFill="1" applyBorder="1"/>
    <xf numFmtId="3" fontId="68" fillId="3" borderId="2" xfId="4" applyNumberFormat="1" applyFont="1" applyFill="1" applyBorder="1" applyAlignment="1">
      <alignment horizontal="right" vertical="center"/>
    </xf>
    <xf numFmtId="3" fontId="63" fillId="0" borderId="12" xfId="4" applyNumberFormat="1" applyFont="1" applyBorder="1" applyAlignment="1">
      <alignment horizontal="center" vertical="center" wrapText="1"/>
    </xf>
    <xf numFmtId="3" fontId="63" fillId="0" borderId="12" xfId="4" applyNumberFormat="1" applyFont="1" applyBorder="1" applyAlignment="1">
      <alignment horizontal="right" vertical="center"/>
    </xf>
    <xf numFmtId="3" fontId="63" fillId="0" borderId="14" xfId="4" applyNumberFormat="1" applyFont="1" applyBorder="1" applyAlignment="1">
      <alignment horizontal="center" vertical="center" wrapText="1"/>
    </xf>
    <xf numFmtId="3" fontId="63" fillId="0" borderId="14" xfId="4" applyNumberFormat="1" applyFont="1" applyBorder="1" applyAlignment="1">
      <alignment horizontal="right" vertical="center"/>
    </xf>
    <xf numFmtId="3" fontId="63" fillId="0" borderId="24" xfId="4" applyNumberFormat="1" applyFont="1" applyBorder="1" applyAlignment="1">
      <alignment horizontal="right" vertical="center"/>
    </xf>
    <xf numFmtId="0" fontId="63" fillId="0" borderId="37" xfId="4" applyFont="1" applyBorder="1" applyAlignment="1">
      <alignment vertical="center" wrapText="1"/>
    </xf>
    <xf numFmtId="3" fontId="63" fillId="0" borderId="27" xfId="4" applyNumberFormat="1" applyFont="1" applyBorder="1" applyAlignment="1">
      <alignment horizontal="center" vertical="center"/>
    </xf>
    <xf numFmtId="3" fontId="63" fillId="0" borderId="13" xfId="4" applyNumberFormat="1" applyFont="1" applyBorder="1" applyAlignment="1">
      <alignment horizontal="right" vertical="center"/>
    </xf>
    <xf numFmtId="3" fontId="51" fillId="0" borderId="13" xfId="4" applyNumberFormat="1" applyFont="1" applyBorder="1" applyAlignment="1">
      <alignment horizontal="right" vertical="center"/>
    </xf>
    <xf numFmtId="0" fontId="101" fillId="0" borderId="0" xfId="6"/>
    <xf numFmtId="3" fontId="92" fillId="0" borderId="0" xfId="6" applyNumberFormat="1" applyFont="1"/>
    <xf numFmtId="0" fontId="92" fillId="0" borderId="0" xfId="7" applyFont="1" applyAlignment="1">
      <alignment wrapText="1"/>
    </xf>
    <xf numFmtId="0" fontId="92" fillId="0" borderId="0" xfId="6" applyFont="1" applyAlignment="1">
      <alignment horizontal="center"/>
    </xf>
    <xf numFmtId="3" fontId="102" fillId="0" borderId="0" xfId="6" applyNumberFormat="1" applyFont="1"/>
    <xf numFmtId="0" fontId="103" fillId="0" borderId="0" xfId="6" applyFont="1" applyAlignment="1">
      <alignment horizontal="center"/>
    </xf>
    <xf numFmtId="3" fontId="101" fillId="0" borderId="0" xfId="6" applyNumberFormat="1"/>
    <xf numFmtId="3" fontId="51" fillId="2" borderId="2" xfId="6" applyNumberFormat="1" applyFont="1" applyFill="1" applyBorder="1" applyAlignment="1">
      <alignment vertical="center"/>
    </xf>
    <xf numFmtId="3" fontId="23" fillId="0" borderId="12" xfId="6" applyNumberFormat="1" applyFont="1" applyBorder="1" applyAlignment="1">
      <alignment vertical="center"/>
    </xf>
    <xf numFmtId="0" fontId="23" fillId="0" borderId="0" xfId="6" applyFont="1" applyAlignment="1">
      <alignment wrapText="1"/>
    </xf>
    <xf numFmtId="0" fontId="23" fillId="0" borderId="2" xfId="6" applyFont="1" applyBorder="1" applyAlignment="1">
      <alignment horizontal="center" vertical="center"/>
    </xf>
    <xf numFmtId="3" fontId="12" fillId="3" borderId="9" xfId="6" applyNumberFormat="1" applyFont="1" applyFill="1" applyBorder="1" applyAlignment="1">
      <alignment vertical="center"/>
    </xf>
    <xf numFmtId="3" fontId="12" fillId="3" borderId="2" xfId="6" applyNumberFormat="1" applyFont="1" applyFill="1" applyBorder="1" applyAlignment="1">
      <alignment vertical="center"/>
    </xf>
    <xf numFmtId="0" fontId="23" fillId="0" borderId="24" xfId="7" applyFont="1" applyBorder="1" applyAlignment="1">
      <alignment wrapText="1"/>
    </xf>
    <xf numFmtId="3" fontId="51" fillId="2" borderId="2" xfId="6" applyNumberFormat="1" applyFont="1" applyFill="1" applyBorder="1" applyAlignment="1">
      <alignment horizontal="right" vertical="center"/>
    </xf>
    <xf numFmtId="0" fontId="51" fillId="2" borderId="11" xfId="6" applyFont="1" applyFill="1" applyBorder="1" applyAlignment="1">
      <alignment horizontal="center" vertical="center"/>
    </xf>
    <xf numFmtId="0" fontId="51" fillId="2" borderId="10" xfId="6" applyFont="1" applyFill="1" applyBorder="1" applyAlignment="1">
      <alignment horizontal="center" vertical="center"/>
    </xf>
    <xf numFmtId="0" fontId="23" fillId="0" borderId="2" xfId="6" applyFont="1" applyBorder="1" applyAlignment="1">
      <alignment horizontal="center"/>
    </xf>
    <xf numFmtId="0" fontId="104" fillId="0" borderId="0" xfId="6" applyFont="1"/>
    <xf numFmtId="3" fontId="23" fillId="0" borderId="17" xfId="6" applyNumberFormat="1" applyFont="1" applyBorder="1" applyAlignment="1">
      <alignment vertical="center"/>
    </xf>
    <xf numFmtId="0" fontId="23" fillId="0" borderId="18" xfId="7" applyFont="1" applyBorder="1" applyAlignment="1">
      <alignment vertical="center" wrapText="1"/>
    </xf>
    <xf numFmtId="0" fontId="23" fillId="0" borderId="30" xfId="6" applyFont="1" applyBorder="1" applyAlignment="1">
      <alignment horizontal="center" vertical="center"/>
    </xf>
    <xf numFmtId="3" fontId="23" fillId="0" borderId="19" xfId="6" applyNumberFormat="1" applyFont="1" applyBorder="1" applyAlignment="1">
      <alignment vertical="center"/>
    </xf>
    <xf numFmtId="0" fontId="23" fillId="0" borderId="21" xfId="7" applyFont="1" applyBorder="1" applyAlignment="1">
      <alignment vertical="center" wrapText="1"/>
    </xf>
    <xf numFmtId="0" fontId="23" fillId="0" borderId="19" xfId="6" applyFont="1" applyBorder="1" applyAlignment="1">
      <alignment horizontal="center" vertical="center"/>
    </xf>
    <xf numFmtId="3" fontId="23" fillId="0" borderId="14" xfId="6" applyNumberFormat="1" applyFont="1" applyBorder="1" applyAlignment="1">
      <alignment vertical="center"/>
    </xf>
    <xf numFmtId="0" fontId="23" fillId="0" borderId="24" xfId="7" applyFont="1" applyBorder="1" applyAlignment="1">
      <alignment vertical="center" wrapText="1"/>
    </xf>
    <xf numFmtId="0" fontId="23" fillId="0" borderId="27" xfId="6" applyFont="1" applyBorder="1" applyAlignment="1">
      <alignment horizontal="center" vertical="center"/>
    </xf>
    <xf numFmtId="3" fontId="23" fillId="0" borderId="22" xfId="6" applyNumberFormat="1" applyFont="1" applyBorder="1" applyAlignment="1">
      <alignment vertical="center"/>
    </xf>
    <xf numFmtId="0" fontId="23" fillId="0" borderId="18" xfId="7" applyFont="1" applyBorder="1" applyAlignment="1">
      <alignment wrapText="1"/>
    </xf>
    <xf numFmtId="3" fontId="23" fillId="0" borderId="23" xfId="6" applyNumberFormat="1" applyFont="1" applyBorder="1" applyAlignment="1">
      <alignment vertical="center"/>
    </xf>
    <xf numFmtId="0" fontId="23" fillId="0" borderId="0" xfId="7" applyFont="1" applyAlignment="1">
      <alignment wrapText="1"/>
    </xf>
    <xf numFmtId="0" fontId="23" fillId="0" borderId="3" xfId="6" applyFont="1" applyBorder="1" applyAlignment="1">
      <alignment horizontal="center" vertical="center"/>
    </xf>
    <xf numFmtId="3" fontId="12" fillId="3" borderId="9" xfId="6" applyNumberFormat="1" applyFont="1" applyFill="1" applyBorder="1" applyAlignment="1">
      <alignment horizontal="right"/>
    </xf>
    <xf numFmtId="3" fontId="12" fillId="3" borderId="2" xfId="6" applyNumberFormat="1" applyFont="1" applyFill="1" applyBorder="1" applyAlignment="1">
      <alignment horizontal="right"/>
    </xf>
    <xf numFmtId="0" fontId="51" fillId="2" borderId="9" xfId="6" applyFont="1" applyFill="1" applyBorder="1" applyAlignment="1">
      <alignment horizontal="center" vertical="center"/>
    </xf>
    <xf numFmtId="0" fontId="51" fillId="2" borderId="2" xfId="6" applyFont="1" applyFill="1" applyBorder="1" applyAlignment="1">
      <alignment horizontal="center" vertical="center"/>
    </xf>
    <xf numFmtId="0" fontId="23" fillId="0" borderId="0" xfId="6" applyFont="1"/>
    <xf numFmtId="3" fontId="51" fillId="2" borderId="9" xfId="4" applyNumberFormat="1" applyFont="1" applyFill="1" applyBorder="1" applyAlignment="1">
      <alignment horizontal="right" vertical="center"/>
    </xf>
    <xf numFmtId="3" fontId="51" fillId="2" borderId="2" xfId="4" applyNumberFormat="1" applyFont="1" applyFill="1" applyBorder="1" applyAlignment="1">
      <alignment horizontal="right" vertical="center"/>
    </xf>
    <xf numFmtId="3" fontId="63" fillId="0" borderId="22" xfId="4" applyNumberFormat="1" applyFont="1" applyBorder="1" applyAlignment="1">
      <alignment horizontal="right" vertical="center"/>
    </xf>
    <xf numFmtId="3" fontId="63" fillId="0" borderId="70" xfId="4" applyNumberFormat="1" applyFont="1" applyBorder="1" applyAlignment="1">
      <alignment horizontal="right" vertical="center"/>
    </xf>
    <xf numFmtId="3" fontId="63" fillId="0" borderId="65" xfId="4" applyNumberFormat="1" applyFont="1" applyBorder="1" applyAlignment="1">
      <alignment horizontal="right" vertical="center"/>
    </xf>
    <xf numFmtId="3" fontId="63" fillId="0" borderId="45" xfId="4" applyNumberFormat="1" applyFont="1" applyBorder="1" applyAlignment="1">
      <alignment horizontal="right" vertical="center"/>
    </xf>
    <xf numFmtId="3" fontId="63" fillId="0" borderId="17" xfId="4" applyNumberFormat="1" applyFont="1" applyBorder="1" applyAlignment="1">
      <alignment horizontal="right" vertical="center"/>
    </xf>
    <xf numFmtId="3" fontId="63" fillId="0" borderId="34" xfId="4" applyNumberFormat="1" applyFont="1" applyBorder="1" applyAlignment="1">
      <alignment horizontal="right" vertical="center"/>
    </xf>
    <xf numFmtId="0" fontId="63" fillId="0" borderId="51" xfId="4" applyFont="1" applyBorder="1" applyAlignment="1">
      <alignment horizontal="center" vertical="center" wrapText="1"/>
    </xf>
    <xf numFmtId="3" fontId="51" fillId="3" borderId="16" xfId="4" applyNumberFormat="1" applyFont="1" applyFill="1" applyBorder="1" applyAlignment="1">
      <alignment horizontal="right" vertical="center"/>
    </xf>
    <xf numFmtId="3" fontId="51" fillId="3" borderId="40" xfId="4" applyNumberFormat="1" applyFont="1" applyFill="1" applyBorder="1" applyAlignment="1">
      <alignment horizontal="right" vertical="center"/>
    </xf>
    <xf numFmtId="3" fontId="51" fillId="3" borderId="63" xfId="4" applyNumberFormat="1" applyFont="1" applyFill="1" applyBorder="1" applyAlignment="1">
      <alignment horizontal="right" vertical="center"/>
    </xf>
    <xf numFmtId="3" fontId="51" fillId="3" borderId="47" xfId="4" applyNumberFormat="1" applyFont="1" applyFill="1" applyBorder="1" applyAlignment="1">
      <alignment horizontal="right" vertical="center"/>
    </xf>
    <xf numFmtId="3" fontId="51" fillId="3" borderId="14" xfId="4" applyNumberFormat="1" applyFont="1" applyFill="1" applyBorder="1" applyAlignment="1">
      <alignment horizontal="right" vertical="center"/>
    </xf>
    <xf numFmtId="3" fontId="51" fillId="3" borderId="15" xfId="4" applyNumberFormat="1" applyFont="1" applyFill="1" applyBorder="1" applyAlignment="1">
      <alignment horizontal="right" vertical="center"/>
    </xf>
    <xf numFmtId="0" fontId="63" fillId="0" borderId="33" xfId="4" applyFont="1" applyBorder="1" applyAlignment="1">
      <alignment horizontal="right" vertical="center" wrapText="1"/>
    </xf>
    <xf numFmtId="0" fontId="63" fillId="0" borderId="49" xfId="4" applyFont="1" applyBorder="1" applyAlignment="1">
      <alignment horizontal="right" vertical="center" wrapText="1"/>
    </xf>
    <xf numFmtId="3" fontId="63" fillId="0" borderId="58" xfId="4" applyNumberFormat="1" applyFont="1" applyBorder="1" applyAlignment="1">
      <alignment horizontal="right" vertical="center" wrapText="1"/>
    </xf>
    <xf numFmtId="3" fontId="63" fillId="0" borderId="72" xfId="4" applyNumberFormat="1" applyFont="1" applyBorder="1" applyAlignment="1">
      <alignment horizontal="right" vertical="center" wrapText="1"/>
    </xf>
    <xf numFmtId="0" fontId="63" fillId="0" borderId="42" xfId="4" applyFont="1" applyBorder="1" applyAlignment="1">
      <alignment horizontal="center" vertical="center"/>
    </xf>
    <xf numFmtId="0" fontId="63" fillId="0" borderId="72" xfId="4" applyFont="1" applyBorder="1" applyAlignment="1">
      <alignment horizontal="center" vertical="center"/>
    </xf>
    <xf numFmtId="0" fontId="51" fillId="3" borderId="37" xfId="4" applyFont="1" applyFill="1" applyBorder="1" applyAlignment="1">
      <alignment horizontal="right" vertical="center"/>
    </xf>
    <xf numFmtId="0" fontId="51" fillId="3" borderId="68" xfId="4" applyFont="1" applyFill="1" applyBorder="1" applyAlignment="1">
      <alignment horizontal="right" vertical="center"/>
    </xf>
    <xf numFmtId="3" fontId="51" fillId="3" borderId="69" xfId="4" applyNumberFormat="1" applyFont="1" applyFill="1" applyBorder="1" applyAlignment="1">
      <alignment horizontal="right" vertical="center"/>
    </xf>
    <xf numFmtId="3" fontId="51" fillId="3" borderId="35" xfId="4" applyNumberFormat="1" applyFont="1" applyFill="1" applyBorder="1" applyAlignment="1">
      <alignment horizontal="right" vertical="center"/>
    </xf>
    <xf numFmtId="3" fontId="51" fillId="3" borderId="27" xfId="4" applyNumberFormat="1" applyFont="1" applyFill="1" applyBorder="1" applyAlignment="1">
      <alignment horizontal="right" vertical="center"/>
    </xf>
    <xf numFmtId="3" fontId="51" fillId="3" borderId="26" xfId="4" applyNumberFormat="1" applyFont="1" applyFill="1" applyBorder="1" applyAlignment="1">
      <alignment horizontal="right" vertical="center"/>
    </xf>
    <xf numFmtId="0" fontId="51" fillId="2" borderId="49" xfId="4" applyFont="1" applyFill="1" applyBorder="1" applyAlignment="1">
      <alignment horizontal="center" vertical="center" wrapText="1"/>
    </xf>
    <xf numFmtId="0" fontId="51" fillId="2" borderId="58" xfId="4" applyFont="1" applyFill="1" applyBorder="1" applyAlignment="1">
      <alignment horizontal="center" vertical="center" wrapText="1"/>
    </xf>
    <xf numFmtId="0" fontId="51" fillId="2" borderId="72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90" fillId="0" borderId="0" xfId="4" applyFont="1" applyAlignment="1">
      <alignment horizontal="center" vertical="center"/>
    </xf>
    <xf numFmtId="0" fontId="100" fillId="0" borderId="0" xfId="4" applyFont="1" applyAlignment="1">
      <alignment horizontal="center" vertical="center"/>
    </xf>
    <xf numFmtId="0" fontId="100" fillId="0" borderId="0" xfId="4" applyFont="1" applyAlignment="1">
      <alignment horizontal="center" vertical="top"/>
    </xf>
    <xf numFmtId="0" fontId="63" fillId="0" borderId="58" xfId="4" applyFont="1" applyBorder="1" applyAlignment="1">
      <alignment horizontal="center" vertical="center"/>
    </xf>
    <xf numFmtId="0" fontId="63" fillId="0" borderId="62" xfId="4" applyFont="1" applyBorder="1" applyAlignment="1">
      <alignment horizontal="center" vertical="center"/>
    </xf>
    <xf numFmtId="0" fontId="63" fillId="0" borderId="58" xfId="4" applyFont="1" applyBorder="1" applyAlignment="1">
      <alignment horizontal="center" vertical="center" wrapText="1"/>
    </xf>
    <xf numFmtId="0" fontId="51" fillId="3" borderId="4" xfId="4" applyFont="1" applyFill="1" applyBorder="1" applyAlignment="1">
      <alignment horizontal="center" vertical="center" wrapText="1"/>
    </xf>
    <xf numFmtId="0" fontId="51" fillId="2" borderId="2" xfId="4" applyFont="1" applyFill="1" applyBorder="1" applyAlignment="1">
      <alignment horizontal="center" vertical="center" wrapText="1"/>
    </xf>
    <xf numFmtId="0" fontId="20" fillId="0" borderId="0" xfId="4" applyFont="1" applyAlignment="1">
      <alignment horizontal="right" wrapText="1"/>
    </xf>
    <xf numFmtId="0" fontId="23" fillId="0" borderId="0" xfId="4" applyFont="1" applyAlignment="1">
      <alignment horizontal="center" vertical="center"/>
    </xf>
    <xf numFmtId="0" fontId="27" fillId="0" borderId="0" xfId="8" applyNumberFormat="1" applyFont="1" applyFill="1" applyBorder="1" applyAlignment="1" applyProtection="1">
      <alignment horizontal="left" vertical="center"/>
      <protection locked="0"/>
    </xf>
    <xf numFmtId="0" fontId="23" fillId="0" borderId="0" xfId="8" applyNumberFormat="1" applyFont="1" applyFill="1" applyBorder="1" applyAlignment="1" applyProtection="1">
      <alignment horizontal="left" vertical="center"/>
      <protection locked="0"/>
    </xf>
    <xf numFmtId="3" fontId="27" fillId="0" borderId="0" xfId="8" applyNumberFormat="1" applyFont="1" applyFill="1" applyBorder="1" applyAlignment="1" applyProtection="1">
      <alignment horizontal="right" vertical="center"/>
      <protection locked="0"/>
    </xf>
    <xf numFmtId="3" fontId="27" fillId="0" borderId="0" xfId="8" applyNumberFormat="1" applyFont="1" applyFill="1" applyBorder="1" applyAlignment="1" applyProtection="1">
      <alignment horizontal="left" vertical="center"/>
      <protection locked="0"/>
    </xf>
    <xf numFmtId="49" fontId="81" fillId="16" borderId="0" xfId="8" applyNumberFormat="1" applyFont="1" applyFill="1" applyBorder="1" applyAlignment="1" applyProtection="1">
      <alignment vertical="top" wrapText="1"/>
      <protection locked="0"/>
    </xf>
    <xf numFmtId="164" fontId="81" fillId="16" borderId="0" xfId="8" applyNumberFormat="1" applyFont="1" applyFill="1" applyBorder="1" applyAlignment="1" applyProtection="1">
      <alignment vertical="top" wrapText="1"/>
      <protection locked="0"/>
    </xf>
    <xf numFmtId="3" fontId="81" fillId="16" borderId="0" xfId="8" applyNumberFormat="1" applyFont="1" applyFill="1" applyBorder="1" applyAlignment="1" applyProtection="1">
      <alignment vertical="top" wrapText="1"/>
      <protection locked="0"/>
    </xf>
    <xf numFmtId="10" fontId="23" fillId="0" borderId="33" xfId="1" applyNumberFormat="1" applyFont="1" applyFill="1" applyBorder="1" applyAlignment="1" applyProtection="1">
      <alignment horizontal="right" vertical="center"/>
      <protection locked="0"/>
    </xf>
    <xf numFmtId="3" fontId="23" fillId="16" borderId="30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1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25" xfId="1" applyNumberFormat="1" applyFont="1" applyFill="1" applyBorder="1" applyAlignment="1" applyProtection="1">
      <alignment horizontal="right" vertical="center"/>
      <protection locked="0"/>
    </xf>
    <xf numFmtId="3" fontId="23" fillId="16" borderId="19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0" xfId="8" applyNumberFormat="1" applyFont="1" applyFill="1" applyBorder="1" applyAlignment="1" applyProtection="1">
      <alignment horizontal="right" vertical="center" wrapText="1"/>
      <protection locked="0"/>
    </xf>
    <xf numFmtId="10" fontId="20" fillId="0" borderId="25" xfId="1" applyNumberFormat="1" applyFont="1" applyFill="1" applyBorder="1" applyAlignment="1" applyProtection="1">
      <alignment horizontal="right" vertical="center"/>
      <protection locked="0"/>
    </xf>
    <xf numFmtId="3" fontId="20" fillId="16" borderId="19" xfId="8" applyNumberFormat="1" applyFont="1" applyFill="1" applyBorder="1" applyAlignment="1" applyProtection="1">
      <alignment horizontal="right" vertical="center" wrapText="1"/>
      <protection locked="0"/>
    </xf>
    <xf numFmtId="3" fontId="20" fillId="16" borderId="20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16" xfId="1" applyNumberFormat="1" applyFont="1" applyFill="1" applyBorder="1" applyAlignment="1" applyProtection="1">
      <alignment horizontal="right" vertical="center"/>
      <protection locked="0"/>
    </xf>
    <xf numFmtId="3" fontId="23" fillId="16" borderId="1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15" xfId="8" applyNumberFormat="1" applyFont="1" applyFill="1" applyBorder="1" applyAlignment="1" applyProtection="1">
      <alignment horizontal="right" vertical="center" wrapText="1"/>
      <protection locked="0"/>
    </xf>
    <xf numFmtId="10" fontId="19" fillId="12" borderId="9" xfId="1" applyNumberFormat="1" applyFont="1" applyFill="1" applyBorder="1" applyAlignment="1" applyProtection="1">
      <alignment horizontal="right" vertical="center"/>
      <protection locked="0"/>
    </xf>
    <xf numFmtId="3" fontId="19" fillId="17" borderId="2" xfId="8" applyNumberFormat="1" applyFont="1" applyFill="1" applyBorder="1" applyAlignment="1" applyProtection="1">
      <alignment horizontal="right" vertical="center" wrapText="1"/>
      <protection locked="0"/>
    </xf>
    <xf numFmtId="3" fontId="19" fillId="17" borderId="10" xfId="8" applyNumberFormat="1" applyFont="1" applyFill="1" applyBorder="1" applyAlignment="1" applyProtection="1">
      <alignment horizontal="right" vertical="center" wrapText="1"/>
      <protection locked="0"/>
    </xf>
    <xf numFmtId="10" fontId="23" fillId="0" borderId="22" xfId="1" applyNumberFormat="1" applyFont="1" applyFill="1" applyBorder="1" applyAlignment="1" applyProtection="1">
      <alignment horizontal="right" vertical="center"/>
      <protection locked="0"/>
    </xf>
    <xf numFmtId="3" fontId="23" fillId="16" borderId="17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4" xfId="8" applyNumberFormat="1" applyFont="1" applyFill="1" applyBorder="1" applyAlignment="1" applyProtection="1">
      <alignment horizontal="right" vertical="center" wrapText="1"/>
      <protection locked="0"/>
    </xf>
    <xf numFmtId="10" fontId="23" fillId="2" borderId="9" xfId="1" applyNumberFormat="1" applyFont="1" applyFill="1" applyBorder="1" applyAlignment="1" applyProtection="1">
      <alignment horizontal="right" vertical="center"/>
      <protection locked="0"/>
    </xf>
    <xf numFmtId="3" fontId="12" fillId="18" borderId="2" xfId="8" applyNumberFormat="1" applyFont="1" applyFill="1" applyBorder="1" applyAlignment="1" applyProtection="1">
      <alignment vertical="top" wrapText="1"/>
      <protection locked="0"/>
    </xf>
    <xf numFmtId="3" fontId="12" fillId="18" borderId="10" xfId="8" applyNumberFormat="1" applyFont="1" applyFill="1" applyBorder="1" applyAlignment="1" applyProtection="1">
      <alignment vertical="top" wrapText="1"/>
      <protection locked="0"/>
    </xf>
    <xf numFmtId="49" fontId="12" fillId="18" borderId="10" xfId="8" applyNumberFormat="1" applyFont="1" applyFill="1" applyBorder="1" applyAlignment="1" applyProtection="1">
      <alignment vertical="top" wrapText="1"/>
      <protection locked="0"/>
    </xf>
    <xf numFmtId="10" fontId="23" fillId="0" borderId="23" xfId="1" applyNumberFormat="1" applyFont="1" applyFill="1" applyBorder="1" applyAlignment="1" applyProtection="1">
      <alignment horizontal="right" vertical="center"/>
      <protection locked="0"/>
    </xf>
    <xf numFmtId="3" fontId="23" fillId="0" borderId="2" xfId="8" applyNumberFormat="1" applyFont="1" applyFill="1" applyBorder="1" applyAlignment="1" applyProtection="1">
      <alignment horizontal="right" vertical="center"/>
      <protection locked="0"/>
    </xf>
    <xf numFmtId="3" fontId="23" fillId="0" borderId="11" xfId="8" applyNumberFormat="1" applyFont="1" applyFill="1" applyBorder="1" applyAlignment="1" applyProtection="1">
      <alignment horizontal="right" vertical="center"/>
      <protection locked="0"/>
    </xf>
    <xf numFmtId="3" fontId="23" fillId="0" borderId="0" xfId="8" applyNumberFormat="1" applyFont="1" applyFill="1" applyBorder="1" applyAlignment="1" applyProtection="1">
      <alignment horizontal="right" vertical="center"/>
      <protection locked="0"/>
    </xf>
    <xf numFmtId="10" fontId="12" fillId="2" borderId="9" xfId="1" applyNumberFormat="1" applyFont="1" applyFill="1" applyBorder="1" applyAlignment="1" applyProtection="1">
      <alignment horizontal="right" vertical="center"/>
      <protection locked="0"/>
    </xf>
    <xf numFmtId="3" fontId="12" fillId="2" borderId="2" xfId="8" applyNumberFormat="1" applyFont="1" applyFill="1" applyBorder="1" applyAlignment="1" applyProtection="1">
      <alignment horizontal="right" vertical="center"/>
      <protection locked="0"/>
    </xf>
    <xf numFmtId="3" fontId="12" fillId="2" borderId="10" xfId="8" applyNumberFormat="1" applyFont="1" applyFill="1" applyBorder="1" applyAlignment="1" applyProtection="1">
      <alignment horizontal="right" vertical="center"/>
      <protection locked="0"/>
    </xf>
    <xf numFmtId="3" fontId="23" fillId="0" borderId="30" xfId="8" applyNumberFormat="1" applyFont="1" applyFill="1" applyBorder="1" applyAlignment="1" applyProtection="1">
      <alignment horizontal="right" vertical="center"/>
      <protection locked="0"/>
    </xf>
    <xf numFmtId="3" fontId="23" fillId="0" borderId="31" xfId="8" applyNumberFormat="1" applyFont="1" applyFill="1" applyBorder="1" applyAlignment="1" applyProtection="1">
      <alignment horizontal="right" vertical="center"/>
      <protection locked="0"/>
    </xf>
    <xf numFmtId="49" fontId="23" fillId="16" borderId="7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" xfId="8" applyNumberFormat="1" applyFont="1" applyFill="1" applyBorder="1" applyAlignment="1" applyProtection="1">
      <alignment vertical="center" wrapText="1"/>
      <protection locked="0"/>
    </xf>
    <xf numFmtId="49" fontId="23" fillId="16" borderId="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7" xfId="8" applyNumberFormat="1" applyFont="1" applyFill="1" applyBorder="1" applyAlignment="1" applyProtection="1">
      <alignment horizontal="right" vertical="center"/>
      <protection locked="0"/>
    </xf>
    <xf numFmtId="3" fontId="23" fillId="0" borderId="34" xfId="8" applyNumberFormat="1" applyFont="1" applyFill="1" applyBorder="1" applyAlignment="1" applyProtection="1">
      <alignment horizontal="right" vertical="center"/>
      <protection locked="0"/>
    </xf>
    <xf numFmtId="49" fontId="23" fillId="16" borderId="12" xfId="8" applyNumberFormat="1" applyFont="1" applyFill="1" applyBorder="1" applyAlignment="1" applyProtection="1">
      <alignment vertical="center" wrapText="1"/>
      <protection locked="0"/>
    </xf>
    <xf numFmtId="49" fontId="23" fillId="19" borderId="28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16" xfId="1" applyNumberFormat="1" applyFont="1" applyFill="1" applyBorder="1" applyAlignment="1" applyProtection="1">
      <alignment horizontal="right" vertical="center"/>
      <protection locked="0"/>
    </xf>
    <xf numFmtId="3" fontId="12" fillId="0" borderId="12" xfId="8" applyNumberFormat="1" applyFont="1" applyFill="1" applyBorder="1" applyAlignment="1" applyProtection="1">
      <alignment horizontal="right" vertical="center"/>
      <protection locked="0"/>
    </xf>
    <xf numFmtId="3" fontId="12" fillId="0" borderId="28" xfId="8" applyNumberFormat="1" applyFont="1" applyFill="1" applyBorder="1" applyAlignment="1" applyProtection="1">
      <alignment horizontal="right" vertical="center"/>
      <protection locked="0"/>
    </xf>
    <xf numFmtId="3" fontId="23" fillId="0" borderId="85" xfId="8" applyNumberFormat="1" applyFont="1" applyFill="1" applyBorder="1" applyAlignment="1" applyProtection="1">
      <alignment horizontal="right" vertical="center"/>
      <protection locked="0"/>
    </xf>
    <xf numFmtId="3" fontId="23" fillId="0" borderId="86" xfId="8" applyNumberFormat="1" applyFont="1" applyFill="1" applyBorder="1" applyAlignment="1" applyProtection="1">
      <alignment horizontal="right" vertical="center"/>
      <protection locked="0"/>
    </xf>
    <xf numFmtId="49" fontId="23" fillId="16" borderId="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8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87" xfId="1" applyNumberFormat="1" applyFont="1" applyFill="1" applyBorder="1" applyAlignment="1" applyProtection="1">
      <alignment horizontal="right" vertical="center"/>
      <protection locked="0"/>
    </xf>
    <xf numFmtId="49" fontId="23" fillId="16" borderId="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9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37" xfId="1" applyNumberFormat="1" applyFont="1" applyFill="1" applyBorder="1" applyAlignment="1" applyProtection="1">
      <alignment horizontal="right" vertical="center"/>
      <protection locked="0"/>
    </xf>
    <xf numFmtId="3" fontId="12" fillId="0" borderId="14" xfId="8" applyNumberFormat="1" applyFont="1" applyFill="1" applyBorder="1" applyAlignment="1" applyProtection="1">
      <alignment horizontal="right" vertical="center"/>
      <protection locked="0"/>
    </xf>
    <xf numFmtId="3" fontId="12" fillId="0" borderId="15" xfId="8" applyNumberFormat="1" applyFont="1" applyFill="1" applyBorder="1" applyAlignment="1" applyProtection="1">
      <alignment horizontal="right" vertical="center"/>
      <protection locked="0"/>
    </xf>
    <xf numFmtId="10" fontId="12" fillId="12" borderId="9" xfId="1" applyNumberFormat="1" applyFont="1" applyFill="1" applyBorder="1" applyAlignment="1" applyProtection="1">
      <alignment horizontal="right" vertical="center"/>
      <protection locked="0"/>
    </xf>
    <xf numFmtId="3" fontId="12" fillId="12" borderId="2" xfId="8" applyNumberFormat="1" applyFont="1" applyFill="1" applyBorder="1" applyAlignment="1" applyProtection="1">
      <alignment horizontal="right" vertical="center"/>
      <protection locked="0"/>
    </xf>
    <xf numFmtId="3" fontId="12" fillId="12" borderId="10" xfId="8" applyNumberFormat="1" applyFont="1" applyFill="1" applyBorder="1" applyAlignment="1" applyProtection="1">
      <alignment horizontal="right" vertical="center"/>
      <protection locked="0"/>
    </xf>
    <xf numFmtId="49" fontId="19" fillId="17" borderId="11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7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91" xfId="1" applyNumberFormat="1" applyFont="1" applyFill="1" applyBorder="1" applyAlignment="1" applyProtection="1">
      <alignment horizontal="right" vertical="center"/>
      <protection locked="0"/>
    </xf>
    <xf numFmtId="3" fontId="23" fillId="0" borderId="92" xfId="8" applyNumberFormat="1" applyFont="1" applyFill="1" applyBorder="1" applyAlignment="1" applyProtection="1">
      <alignment horizontal="right" vertical="center"/>
      <protection locked="0"/>
    </xf>
    <xf numFmtId="49" fontId="23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2" xfId="8" applyNumberFormat="1" applyFont="1" applyFill="1" applyBorder="1" applyAlignment="1" applyProtection="1">
      <alignment vertical="center" wrapText="1"/>
      <protection locked="0"/>
    </xf>
    <xf numFmtId="49" fontId="27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2" xfId="8" applyNumberFormat="1" applyFont="1" applyFill="1" applyBorder="1" applyAlignment="1" applyProtection="1">
      <alignment horizontal="right" vertical="center"/>
      <protection locked="0"/>
    </xf>
    <xf numFmtId="3" fontId="23" fillId="6" borderId="28" xfId="8" applyNumberFormat="1" applyFont="1" applyFill="1" applyBorder="1" applyAlignment="1" applyProtection="1">
      <alignment horizontal="right" vertical="center"/>
      <protection locked="0"/>
    </xf>
    <xf numFmtId="49" fontId="23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85" xfId="8" applyNumberFormat="1" applyFont="1" applyFill="1" applyBorder="1" applyAlignment="1" applyProtection="1">
      <alignment horizontal="right" vertical="center"/>
      <protection locked="0"/>
    </xf>
    <xf numFmtId="3" fontId="23" fillId="6" borderId="86" xfId="8" applyNumberFormat="1" applyFont="1" applyFill="1" applyBorder="1" applyAlignment="1" applyProtection="1">
      <alignment horizontal="right" vertical="center"/>
      <protection locked="0"/>
    </xf>
    <xf numFmtId="10" fontId="12" fillId="0" borderId="87" xfId="1" applyNumberFormat="1" applyFont="1" applyFill="1" applyBorder="1" applyAlignment="1" applyProtection="1">
      <alignment horizontal="right" vertical="center"/>
      <protection locked="0"/>
    </xf>
    <xf numFmtId="3" fontId="12" fillId="6" borderId="85" xfId="8" applyNumberFormat="1" applyFont="1" applyFill="1" applyBorder="1" applyAlignment="1" applyProtection="1">
      <alignment horizontal="right" vertical="center"/>
      <protection locked="0"/>
    </xf>
    <xf numFmtId="3" fontId="12" fillId="6" borderId="86" xfId="8" applyNumberFormat="1" applyFont="1" applyFill="1" applyBorder="1" applyAlignment="1" applyProtection="1">
      <alignment horizontal="right" vertical="center"/>
      <protection locked="0"/>
    </xf>
    <xf numFmtId="10" fontId="27" fillId="0" borderId="91" xfId="1" applyNumberFormat="1" applyFont="1" applyFill="1" applyBorder="1" applyAlignment="1" applyProtection="1">
      <alignment horizontal="right" vertical="center"/>
      <protection locked="0"/>
    </xf>
    <xf numFmtId="3" fontId="27" fillId="0" borderId="27" xfId="8" applyNumberFormat="1" applyFont="1" applyFill="1" applyBorder="1" applyAlignment="1" applyProtection="1">
      <alignment horizontal="right" vertical="center"/>
      <protection locked="0"/>
    </xf>
    <xf numFmtId="3" fontId="27" fillId="0" borderId="26" xfId="8" applyNumberFormat="1" applyFont="1" applyFill="1" applyBorder="1" applyAlignment="1" applyProtection="1">
      <alignment horizontal="right" vertical="center"/>
      <protection locked="0"/>
    </xf>
    <xf numFmtId="3" fontId="27" fillId="0" borderId="4" xfId="8" applyNumberFormat="1" applyFont="1" applyFill="1" applyBorder="1" applyAlignment="1" applyProtection="1">
      <alignment horizontal="right" vertical="center"/>
      <protection locked="0"/>
    </xf>
    <xf numFmtId="49" fontId="27" fillId="16" borderId="3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" xfId="8" applyNumberFormat="1" applyFont="1" applyFill="1" applyBorder="1" applyAlignment="1" applyProtection="1">
      <alignment vertical="center" wrapText="1"/>
      <protection locked="0"/>
    </xf>
    <xf numFmtId="49" fontId="27" fillId="19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" xfId="8" applyNumberFormat="1" applyFont="1" applyFill="1" applyBorder="1" applyAlignment="1" applyProtection="1">
      <alignment vertical="center" wrapText="1"/>
      <protection locked="0"/>
    </xf>
    <xf numFmtId="49" fontId="27" fillId="19" borderId="7" xfId="8" applyNumberFormat="1" applyFont="1" applyFill="1" applyBorder="1" applyAlignment="1" applyProtection="1">
      <alignment vertical="center" wrapText="1"/>
      <protection locked="0"/>
    </xf>
    <xf numFmtId="49" fontId="23" fillId="16" borderId="9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9" xfId="8" applyNumberFormat="1" applyFont="1" applyFill="1" applyBorder="1" applyAlignment="1" applyProtection="1">
      <alignment horizontal="center" vertical="center" wrapText="1"/>
      <protection locked="0"/>
    </xf>
    <xf numFmtId="49" fontId="27" fillId="19" borderId="28" xfId="8" applyNumberFormat="1" applyFont="1" applyFill="1" applyBorder="1" applyAlignment="1" applyProtection="1">
      <alignment vertical="center" wrapText="1"/>
      <protection locked="0"/>
    </xf>
    <xf numFmtId="10" fontId="27" fillId="0" borderId="87" xfId="1" applyNumberFormat="1" applyFont="1" applyFill="1" applyBorder="1" applyAlignment="1" applyProtection="1">
      <alignment horizontal="right" vertical="center"/>
      <protection locked="0"/>
    </xf>
    <xf numFmtId="3" fontId="27" fillId="0" borderId="85" xfId="8" applyNumberFormat="1" applyFont="1" applyFill="1" applyBorder="1" applyAlignment="1" applyProtection="1">
      <alignment horizontal="right" vertical="center"/>
      <protection locked="0"/>
    </xf>
    <xf numFmtId="3" fontId="27" fillId="0" borderId="86" xfId="8" applyNumberFormat="1" applyFont="1" applyFill="1" applyBorder="1" applyAlignment="1" applyProtection="1">
      <alignment horizontal="right" vertical="center"/>
      <protection locked="0"/>
    </xf>
    <xf numFmtId="3" fontId="23" fillId="0" borderId="14" xfId="8" applyNumberFormat="1" applyFont="1" applyFill="1" applyBorder="1" applyAlignment="1" applyProtection="1">
      <alignment horizontal="right" vertical="center"/>
      <protection locked="0"/>
    </xf>
    <xf numFmtId="3" fontId="23" fillId="0" borderId="15" xfId="8" applyNumberFormat="1" applyFont="1" applyFill="1" applyBorder="1" applyAlignment="1" applyProtection="1">
      <alignment horizontal="right" vertical="center"/>
      <protection locked="0"/>
    </xf>
    <xf numFmtId="49" fontId="27" fillId="16" borderId="86" xfId="8" applyNumberFormat="1" applyFont="1" applyFill="1" applyBorder="1" applyAlignment="1" applyProtection="1">
      <alignment vertical="center" wrapText="1"/>
      <protection locked="0"/>
    </xf>
    <xf numFmtId="49" fontId="27" fillId="16" borderId="95" xfId="8" applyNumberFormat="1" applyFont="1" applyFill="1" applyBorder="1" applyAlignment="1" applyProtection="1">
      <alignment vertical="center" wrapText="1"/>
      <protection locked="0"/>
    </xf>
    <xf numFmtId="49" fontId="27" fillId="19" borderId="12" xfId="8" applyNumberFormat="1" applyFont="1" applyFill="1" applyBorder="1" applyAlignment="1" applyProtection="1">
      <alignment vertical="center" wrapText="1"/>
      <protection locked="0"/>
    </xf>
    <xf numFmtId="10" fontId="20" fillId="0" borderId="87" xfId="1" applyNumberFormat="1" applyFont="1" applyFill="1" applyBorder="1" applyAlignment="1" applyProtection="1">
      <alignment horizontal="right" vertical="center"/>
      <protection locked="0"/>
    </xf>
    <xf numFmtId="3" fontId="20" fillId="0" borderId="14" xfId="8" applyNumberFormat="1" applyFont="1" applyFill="1" applyBorder="1" applyAlignment="1" applyProtection="1">
      <alignment horizontal="right" vertical="center"/>
      <protection locked="0"/>
    </xf>
    <xf numFmtId="3" fontId="20" fillId="0" borderId="104" xfId="8" applyNumberFormat="1" applyFont="1" applyFill="1" applyBorder="1" applyAlignment="1" applyProtection="1">
      <alignment horizontal="right" vertical="center"/>
      <protection locked="0"/>
    </xf>
    <xf numFmtId="49" fontId="23" fillId="16" borderId="104" xfId="8" applyNumberFormat="1" applyFont="1" applyFill="1" applyBorder="1" applyAlignment="1" applyProtection="1">
      <alignment vertical="center" wrapText="1"/>
      <protection locked="0"/>
    </xf>
    <xf numFmtId="49" fontId="23" fillId="16" borderId="105" xfId="8" applyNumberFormat="1" applyFont="1" applyFill="1" applyBorder="1" applyAlignment="1" applyProtection="1">
      <alignment vertical="center" wrapText="1"/>
      <protection locked="0"/>
    </xf>
    <xf numFmtId="3" fontId="20" fillId="0" borderId="85" xfId="8" applyNumberFormat="1" applyFont="1" applyFill="1" applyBorder="1" applyAlignment="1" applyProtection="1">
      <alignment horizontal="right" vertical="center"/>
      <protection locked="0"/>
    </xf>
    <xf numFmtId="3" fontId="20" fillId="0" borderId="86" xfId="8" applyNumberFormat="1" applyFont="1" applyFill="1" applyBorder="1" applyAlignment="1" applyProtection="1">
      <alignment horizontal="right" vertical="center"/>
      <protection locked="0"/>
    </xf>
    <xf numFmtId="10" fontId="12" fillId="0" borderId="108" xfId="1" applyNumberFormat="1" applyFont="1" applyFill="1" applyBorder="1" applyAlignment="1" applyProtection="1">
      <alignment horizontal="right" vertical="center"/>
      <protection locked="0"/>
    </xf>
    <xf numFmtId="3" fontId="12" fillId="0" borderId="104" xfId="8" applyNumberFormat="1" applyFont="1" applyFill="1" applyBorder="1" applyAlignment="1" applyProtection="1">
      <alignment horizontal="right" vertical="center"/>
      <protection locked="0"/>
    </xf>
    <xf numFmtId="49" fontId="23" fillId="16" borderId="3" xfId="8" applyNumberFormat="1" applyFont="1" applyFill="1" applyBorder="1" applyAlignment="1" applyProtection="1">
      <alignment vertical="center" wrapText="1"/>
      <protection locked="0"/>
    </xf>
    <xf numFmtId="3" fontId="19" fillId="12" borderId="2" xfId="8" applyNumberFormat="1" applyFont="1" applyFill="1" applyBorder="1" applyAlignment="1" applyProtection="1">
      <alignment horizontal="right" vertical="center"/>
      <protection locked="0"/>
    </xf>
    <xf numFmtId="3" fontId="19" fillId="12" borderId="10" xfId="8" applyNumberFormat="1" applyFont="1" applyFill="1" applyBorder="1" applyAlignment="1" applyProtection="1">
      <alignment horizontal="right" vertical="center"/>
      <protection locked="0"/>
    </xf>
    <xf numFmtId="3" fontId="27" fillId="6" borderId="31" xfId="8" applyNumberFormat="1" applyFont="1" applyFill="1" applyBorder="1" applyAlignment="1" applyProtection="1">
      <alignment horizontal="right" vertical="center"/>
      <protection locked="0"/>
    </xf>
    <xf numFmtId="49" fontId="27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7" fillId="6" borderId="92" xfId="8" applyNumberFormat="1" applyFont="1" applyFill="1" applyBorder="1" applyAlignment="1" applyProtection="1">
      <alignment horizontal="right" vertical="center"/>
      <protection locked="0"/>
    </xf>
    <xf numFmtId="3" fontId="16" fillId="6" borderId="28" xfId="8" applyNumberFormat="1" applyFont="1" applyFill="1" applyBorder="1" applyAlignment="1" applyProtection="1">
      <alignment horizontal="right" vertical="center"/>
      <protection locked="0"/>
    </xf>
    <xf numFmtId="3" fontId="16" fillId="12" borderId="10" xfId="8" applyNumberFormat="1" applyFont="1" applyFill="1" applyBorder="1" applyAlignment="1" applyProtection="1">
      <alignment horizontal="right" vertical="center"/>
      <protection locked="0"/>
    </xf>
    <xf numFmtId="49" fontId="28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31" xfId="8" applyNumberFormat="1" applyFont="1" applyFill="1" applyBorder="1" applyAlignment="1" applyProtection="1">
      <alignment horizontal="right" vertical="center"/>
      <protection locked="0"/>
    </xf>
    <xf numFmtId="49" fontId="23" fillId="16" borderId="1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14" xfId="8" applyNumberFormat="1" applyFont="1" applyFill="1" applyBorder="1" applyAlignment="1" applyProtection="1">
      <alignment horizontal="right" vertical="center"/>
      <protection locked="0"/>
    </xf>
    <xf numFmtId="3" fontId="23" fillId="6" borderId="92" xfId="8" applyNumberFormat="1" applyFont="1" applyFill="1" applyBorder="1" applyAlignment="1" applyProtection="1">
      <alignment horizontal="right" vertical="center"/>
      <protection locked="0"/>
    </xf>
    <xf numFmtId="3" fontId="12" fillId="6" borderId="12" xfId="8" applyNumberFormat="1" applyFont="1" applyFill="1" applyBorder="1" applyAlignment="1" applyProtection="1">
      <alignment horizontal="right" vertical="center"/>
      <protection locked="0"/>
    </xf>
    <xf numFmtId="3" fontId="12" fillId="6" borderId="28" xfId="8" applyNumberFormat="1" applyFont="1" applyFill="1" applyBorder="1" applyAlignment="1" applyProtection="1">
      <alignment horizontal="right" vertical="center"/>
      <protection locked="0"/>
    </xf>
    <xf numFmtId="49" fontId="27" fillId="16" borderId="28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08" xfId="1" applyNumberFormat="1" applyFont="1" applyFill="1" applyBorder="1" applyAlignment="1" applyProtection="1">
      <alignment horizontal="right" vertical="center"/>
      <protection locked="0"/>
    </xf>
    <xf numFmtId="49" fontId="19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13" xfId="8" applyNumberFormat="1" applyFont="1" applyFill="1" applyBorder="1" applyAlignment="1" applyProtection="1">
      <alignment horizontal="center" vertical="center" wrapText="1"/>
      <protection locked="0"/>
    </xf>
    <xf numFmtId="10" fontId="12" fillId="2" borderId="5" xfId="1" applyNumberFormat="1" applyFont="1" applyFill="1" applyBorder="1" applyAlignment="1" applyProtection="1">
      <alignment horizontal="right" vertical="center"/>
      <protection locked="0"/>
    </xf>
    <xf numFmtId="49" fontId="12" fillId="18" borderId="112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113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2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1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1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1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17" xfId="1" applyNumberFormat="1" applyFont="1" applyFill="1" applyBorder="1" applyAlignment="1" applyProtection="1">
      <alignment horizontal="right" vertical="center"/>
      <protection locked="0"/>
    </xf>
    <xf numFmtId="3" fontId="23" fillId="0" borderId="118" xfId="8" applyNumberFormat="1" applyFont="1" applyFill="1" applyBorder="1" applyAlignment="1" applyProtection="1">
      <alignment horizontal="right" vertical="center"/>
      <protection locked="0"/>
    </xf>
    <xf numFmtId="3" fontId="23" fillId="0" borderId="119" xfId="8" applyNumberFormat="1" applyFont="1" applyFill="1" applyBorder="1" applyAlignment="1" applyProtection="1">
      <alignment horizontal="right" vertical="center"/>
      <protection locked="0"/>
    </xf>
    <xf numFmtId="3" fontId="23" fillId="0" borderId="122" xfId="8" applyNumberFormat="1" applyFont="1" applyFill="1" applyBorder="1" applyAlignment="1" applyProtection="1">
      <alignment horizontal="right" vertical="center"/>
      <protection locked="0"/>
    </xf>
    <xf numFmtId="49" fontId="23" fillId="16" borderId="1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2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4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17" xfId="1" applyNumberFormat="1" applyFont="1" applyFill="1" applyBorder="1" applyAlignment="1" applyProtection="1">
      <alignment horizontal="right" vertical="center"/>
      <protection locked="0"/>
    </xf>
    <xf numFmtId="3" fontId="20" fillId="0" borderId="118" xfId="8" applyNumberFormat="1" applyFont="1" applyFill="1" applyBorder="1" applyAlignment="1" applyProtection="1">
      <alignment horizontal="right" vertical="center"/>
      <protection locked="0"/>
    </xf>
    <xf numFmtId="3" fontId="20" fillId="0" borderId="119" xfId="8" applyNumberFormat="1" applyFont="1" applyFill="1" applyBorder="1" applyAlignment="1" applyProtection="1">
      <alignment horizontal="right" vertical="center"/>
      <protection locked="0"/>
    </xf>
    <xf numFmtId="49" fontId="23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6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14" xfId="8" applyNumberFormat="1" applyFont="1" applyFill="1" applyBorder="1" applyAlignment="1" applyProtection="1">
      <alignment horizontal="right" vertical="center"/>
      <protection locked="0"/>
    </xf>
    <xf numFmtId="49" fontId="23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3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6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04" xfId="8" applyNumberFormat="1" applyFont="1" applyFill="1" applyBorder="1" applyAlignment="1" applyProtection="1">
      <alignment horizontal="right" vertical="center"/>
      <protection locked="0"/>
    </xf>
    <xf numFmtId="10" fontId="23" fillId="0" borderId="8" xfId="1" applyNumberFormat="1" applyFont="1" applyFill="1" applyBorder="1" applyAlignment="1" applyProtection="1">
      <alignment horizontal="right" vertical="center"/>
      <protection locked="0"/>
    </xf>
    <xf numFmtId="3" fontId="23" fillId="0" borderId="6" xfId="8" applyNumberFormat="1" applyFont="1" applyFill="1" applyBorder="1" applyAlignment="1" applyProtection="1">
      <alignment horizontal="right" vertical="center"/>
      <protection locked="0"/>
    </xf>
    <xf numFmtId="3" fontId="23" fillId="0" borderId="7" xfId="8" applyNumberFormat="1" applyFont="1" applyFill="1" applyBorder="1" applyAlignment="1" applyProtection="1">
      <alignment horizontal="right" vertical="center"/>
      <protection locked="0"/>
    </xf>
    <xf numFmtId="49" fontId="23" fillId="16" borderId="5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2" xfId="8" applyNumberFormat="1" applyFont="1" applyFill="1" applyBorder="1" applyAlignment="1" applyProtection="1">
      <alignment horizontal="right" vertical="center"/>
      <protection locked="0"/>
    </xf>
    <xf numFmtId="3" fontId="23" fillId="0" borderId="28" xfId="8" applyNumberFormat="1" applyFont="1" applyFill="1" applyBorder="1" applyAlignment="1" applyProtection="1">
      <alignment horizontal="right" vertical="center"/>
      <protection locked="0"/>
    </xf>
    <xf numFmtId="49" fontId="23" fillId="16" borderId="11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3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31" xfId="0" applyNumberFormat="1" applyFont="1" applyBorder="1" applyAlignment="1">
      <alignment vertical="center" wrapText="1"/>
    </xf>
    <xf numFmtId="49" fontId="23" fillId="16" borderId="134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8" applyNumberFormat="1" applyFont="1" applyFill="1" applyBorder="1" applyAlignment="1" applyProtection="1">
      <alignment horizontal="right" vertical="center"/>
      <protection locked="0"/>
    </xf>
    <xf numFmtId="3" fontId="20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16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" xfId="8" applyNumberFormat="1" applyFont="1" applyFill="1" applyBorder="1" applyAlignment="1" applyProtection="1">
      <alignment vertical="center" wrapText="1"/>
      <protection locked="0"/>
    </xf>
    <xf numFmtId="49" fontId="23" fillId="16" borderId="1" xfId="8" applyNumberFormat="1" applyFont="1" applyFill="1" applyBorder="1" applyAlignment="1" applyProtection="1">
      <alignment vertical="center" wrapText="1"/>
      <protection locked="0"/>
    </xf>
    <xf numFmtId="10" fontId="12" fillId="0" borderId="91" xfId="1" applyNumberFormat="1" applyFont="1" applyFill="1" applyBorder="1" applyAlignment="1" applyProtection="1">
      <alignment horizontal="right" vertical="center"/>
      <protection locked="0"/>
    </xf>
    <xf numFmtId="49" fontId="23" fillId="16" borderId="137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118" xfId="8" applyNumberFormat="1" applyFont="1" applyFill="1" applyBorder="1" applyAlignment="1" applyProtection="1">
      <alignment horizontal="right" vertical="center"/>
      <protection locked="0"/>
    </xf>
    <xf numFmtId="3" fontId="23" fillId="6" borderId="119" xfId="8" applyNumberFormat="1" applyFont="1" applyFill="1" applyBorder="1" applyAlignment="1" applyProtection="1">
      <alignment horizontal="right" vertical="center"/>
      <protection locked="0"/>
    </xf>
    <xf numFmtId="3" fontId="12" fillId="6" borderId="3" xfId="8" applyNumberFormat="1" applyFont="1" applyFill="1" applyBorder="1" applyAlignment="1" applyProtection="1">
      <alignment horizontal="right" vertical="center"/>
      <protection locked="0"/>
    </xf>
    <xf numFmtId="3" fontId="12" fillId="6" borderId="4" xfId="8" applyNumberFormat="1" applyFont="1" applyFill="1" applyBorder="1" applyAlignment="1" applyProtection="1">
      <alignment horizontal="right" vertical="center"/>
      <protection locked="0"/>
    </xf>
    <xf numFmtId="3" fontId="27" fillId="0" borderId="118" xfId="8" applyNumberFormat="1" applyFont="1" applyFill="1" applyBorder="1" applyAlignment="1" applyProtection="1">
      <alignment horizontal="right" vertical="center"/>
      <protection locked="0"/>
    </xf>
    <xf numFmtId="3" fontId="27" fillId="0" borderId="119" xfId="8" applyNumberFormat="1" applyFont="1" applyFill="1" applyBorder="1" applyAlignment="1" applyProtection="1">
      <alignment horizontal="right" vertical="center"/>
      <protection locked="0"/>
    </xf>
    <xf numFmtId="3" fontId="27" fillId="0" borderId="92" xfId="8" applyNumberFormat="1" applyFont="1" applyFill="1" applyBorder="1" applyAlignment="1" applyProtection="1">
      <alignment horizontal="right" vertical="center"/>
      <protection locked="0"/>
    </xf>
    <xf numFmtId="49" fontId="27" fillId="0" borderId="9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3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38" xfId="8" applyNumberFormat="1" applyFont="1" applyFill="1" applyBorder="1" applyAlignment="1" applyProtection="1">
      <alignment horizontal="left" vertical="center" wrapText="1"/>
      <protection locked="0"/>
    </xf>
    <xf numFmtId="10" fontId="27" fillId="0" borderId="108" xfId="1" applyNumberFormat="1" applyFont="1" applyFill="1" applyBorder="1" applyAlignment="1" applyProtection="1">
      <alignment horizontal="right" vertical="center"/>
      <protection locked="0"/>
    </xf>
    <xf numFmtId="3" fontId="27" fillId="0" borderId="14" xfId="8" applyNumberFormat="1" applyFont="1" applyFill="1" applyBorder="1" applyAlignment="1" applyProtection="1">
      <alignment horizontal="right" vertical="center"/>
      <protection locked="0"/>
    </xf>
    <xf numFmtId="3" fontId="27" fillId="0" borderId="104" xfId="8" applyNumberFormat="1" applyFont="1" applyFill="1" applyBorder="1" applyAlignment="1" applyProtection="1">
      <alignment horizontal="right" vertical="center"/>
      <protection locked="0"/>
    </xf>
    <xf numFmtId="49" fontId="27" fillId="16" borderId="139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" applyNumberFormat="1" applyFont="1" applyFill="1" applyBorder="1" applyAlignment="1" applyProtection="1">
      <alignment horizontal="left" vertical="center"/>
      <protection locked="0"/>
    </xf>
    <xf numFmtId="10" fontId="6" fillId="0" borderId="140" xfId="1" applyNumberFormat="1" applyFont="1" applyFill="1" applyBorder="1" applyAlignment="1" applyProtection="1">
      <alignment horizontal="right" vertical="center"/>
      <protection locked="0"/>
    </xf>
    <xf numFmtId="3" fontId="6" fillId="0" borderId="6" xfId="8" applyNumberFormat="1" applyFont="1" applyFill="1" applyBorder="1" applyAlignment="1" applyProtection="1">
      <alignment horizontal="right" vertical="center"/>
      <protection locked="0"/>
    </xf>
    <xf numFmtId="3" fontId="6" fillId="0" borderId="7" xfId="8" applyNumberFormat="1" applyFont="1" applyFill="1" applyBorder="1" applyAlignment="1" applyProtection="1">
      <alignment horizontal="right" vertical="center"/>
      <protection locked="0"/>
    </xf>
    <xf numFmtId="49" fontId="6" fillId="16" borderId="7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87" xfId="1" applyNumberFormat="1" applyFont="1" applyFill="1" applyBorder="1" applyAlignment="1" applyProtection="1">
      <alignment horizontal="right" vertical="center"/>
      <protection locked="0"/>
    </xf>
    <xf numFmtId="3" fontId="6" fillId="0" borderId="30" xfId="8" applyNumberFormat="1" applyFont="1" applyFill="1" applyBorder="1" applyAlignment="1" applyProtection="1">
      <alignment horizontal="right" vertical="center"/>
      <protection locked="0"/>
    </xf>
    <xf numFmtId="3" fontId="6" fillId="0" borderId="31" xfId="8" applyNumberFormat="1" applyFont="1" applyFill="1" applyBorder="1" applyAlignment="1" applyProtection="1">
      <alignment horizontal="right" vertical="center"/>
      <protection locked="0"/>
    </xf>
    <xf numFmtId="49" fontId="6" fillId="16" borderId="14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18" xfId="8" applyNumberFormat="1" applyFont="1" applyFill="1" applyBorder="1" applyAlignment="1" applyProtection="1">
      <alignment horizontal="right" vertical="center"/>
      <protection locked="0"/>
    </xf>
    <xf numFmtId="3" fontId="6" fillId="0" borderId="119" xfId="8" applyNumberFormat="1" applyFont="1" applyFill="1" applyBorder="1" applyAlignment="1" applyProtection="1">
      <alignment horizontal="right" vertical="center"/>
      <protection locked="0"/>
    </xf>
    <xf numFmtId="49" fontId="6" fillId="16" borderId="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3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87" xfId="1" applyNumberFormat="1" applyFont="1" applyFill="1" applyBorder="1" applyAlignment="1" applyProtection="1">
      <alignment horizontal="right" vertical="center"/>
      <protection locked="0"/>
    </xf>
    <xf numFmtId="3" fontId="11" fillId="0" borderId="118" xfId="8" applyNumberFormat="1" applyFont="1" applyFill="1" applyBorder="1" applyAlignment="1" applyProtection="1">
      <alignment horizontal="right" vertical="center"/>
      <protection locked="0"/>
    </xf>
    <xf numFmtId="3" fontId="11" fillId="0" borderId="119" xfId="8" applyNumberFormat="1" applyFont="1" applyFill="1" applyBorder="1" applyAlignment="1" applyProtection="1">
      <alignment horizontal="right" vertical="center"/>
      <protection locked="0"/>
    </xf>
    <xf numFmtId="10" fontId="6" fillId="0" borderId="108" xfId="1" applyNumberFormat="1" applyFont="1" applyFill="1" applyBorder="1" applyAlignment="1" applyProtection="1">
      <alignment horizontal="right" vertical="center"/>
      <protection locked="0"/>
    </xf>
    <xf numFmtId="3" fontId="6" fillId="0" borderId="14" xfId="8" applyNumberFormat="1" applyFont="1" applyFill="1" applyBorder="1" applyAlignment="1" applyProtection="1">
      <alignment horizontal="right" vertical="center"/>
      <protection locked="0"/>
    </xf>
    <xf numFmtId="3" fontId="6" fillId="0" borderId="104" xfId="8" applyNumberFormat="1" applyFont="1" applyFill="1" applyBorder="1" applyAlignment="1" applyProtection="1">
      <alignment horizontal="right" vertical="center"/>
      <protection locked="0"/>
    </xf>
    <xf numFmtId="49" fontId="6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0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4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8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8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117" xfId="1" applyNumberFormat="1" applyFont="1" applyFill="1" applyBorder="1" applyAlignment="1" applyProtection="1">
      <alignment horizontal="right" vertical="center"/>
      <protection locked="0"/>
    </xf>
    <xf numFmtId="49" fontId="6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8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150" xfId="1" applyNumberFormat="1" applyFont="1" applyFill="1" applyBorder="1" applyAlignment="1" applyProtection="1">
      <alignment horizontal="right" vertical="center"/>
      <protection locked="0"/>
    </xf>
    <xf numFmtId="3" fontId="6" fillId="0" borderId="27" xfId="8" applyNumberFormat="1" applyFont="1" applyFill="1" applyBorder="1" applyAlignment="1" applyProtection="1">
      <alignment horizontal="right" vertical="center"/>
      <protection locked="0"/>
    </xf>
    <xf numFmtId="3" fontId="6" fillId="0" borderId="26" xfId="8" applyNumberFormat="1" applyFont="1" applyFill="1" applyBorder="1" applyAlignment="1" applyProtection="1">
      <alignment horizontal="right" vertical="center"/>
      <protection locked="0"/>
    </xf>
    <xf numFmtId="49" fontId="6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1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8" applyNumberFormat="1" applyFont="1" applyFill="1" applyBorder="1" applyAlignment="1" applyProtection="1">
      <alignment vertical="center" wrapText="1"/>
      <protection locked="0"/>
    </xf>
    <xf numFmtId="10" fontId="33" fillId="0" borderId="87" xfId="1" applyNumberFormat="1" applyFont="1" applyFill="1" applyBorder="1" applyAlignment="1" applyProtection="1">
      <alignment horizontal="right" vertical="center"/>
      <protection locked="0"/>
    </xf>
    <xf numFmtId="3" fontId="33" fillId="0" borderId="118" xfId="8" applyNumberFormat="1" applyFont="1" applyFill="1" applyBorder="1" applyAlignment="1" applyProtection="1">
      <alignment horizontal="right" vertical="center"/>
      <protection locked="0"/>
    </xf>
    <xf numFmtId="3" fontId="33" fillId="0" borderId="119" xfId="8" applyNumberFormat="1" applyFont="1" applyFill="1" applyBorder="1" applyAlignment="1" applyProtection="1">
      <alignment horizontal="right" vertical="center"/>
      <protection locked="0"/>
    </xf>
    <xf numFmtId="49" fontId="6" fillId="0" borderId="90" xfId="8" applyNumberFormat="1" applyFont="1" applyFill="1" applyBorder="1" applyAlignment="1" applyProtection="1">
      <alignment horizontal="left" vertical="center" wrapText="1"/>
      <protection locked="0"/>
    </xf>
    <xf numFmtId="10" fontId="11" fillId="0" borderId="108" xfId="1" applyNumberFormat="1" applyFont="1" applyFill="1" applyBorder="1" applyAlignment="1" applyProtection="1">
      <alignment horizontal="right" vertical="center"/>
      <protection locked="0"/>
    </xf>
    <xf numFmtId="3" fontId="11" fillId="0" borderId="14" xfId="8" applyNumberFormat="1" applyFont="1" applyFill="1" applyBorder="1" applyAlignment="1" applyProtection="1">
      <alignment horizontal="right" vertical="center"/>
      <protection locked="0"/>
    </xf>
    <xf numFmtId="3" fontId="11" fillId="0" borderId="104" xfId="8" applyNumberFormat="1" applyFont="1" applyFill="1" applyBorder="1" applyAlignment="1" applyProtection="1">
      <alignment horizontal="right" vertical="center"/>
      <protection locked="0"/>
    </xf>
    <xf numFmtId="10" fontId="11" fillId="12" borderId="9" xfId="1" applyNumberFormat="1" applyFont="1" applyFill="1" applyBorder="1" applyAlignment="1" applyProtection="1">
      <alignment horizontal="right" vertical="center"/>
      <protection locked="0"/>
    </xf>
    <xf numFmtId="3" fontId="31" fillId="12" borderId="2" xfId="8" applyNumberFormat="1" applyFont="1" applyFill="1" applyBorder="1" applyAlignment="1" applyProtection="1">
      <alignment horizontal="right" vertical="center"/>
      <protection locked="0"/>
    </xf>
    <xf numFmtId="3" fontId="31" fillId="12" borderId="10" xfId="8" applyNumberFormat="1" applyFont="1" applyFill="1" applyBorder="1" applyAlignment="1" applyProtection="1">
      <alignment horizontal="right" vertical="center"/>
      <protection locked="0"/>
    </xf>
    <xf numFmtId="49" fontId="31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2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91" xfId="1" applyNumberFormat="1" applyFont="1" applyFill="1" applyBorder="1" applyAlignment="1" applyProtection="1">
      <alignment horizontal="right" vertical="center"/>
      <protection locked="0"/>
    </xf>
    <xf numFmtId="49" fontId="6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28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8" xfId="8" applyNumberFormat="1" applyFont="1" applyFill="1" applyBorder="1" applyAlignment="1" applyProtection="1">
      <alignment horizontal="right" vertical="center"/>
      <protection locked="0"/>
    </xf>
    <xf numFmtId="49" fontId="6" fillId="16" borderId="11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19" xfId="8" applyNumberFormat="1" applyFont="1" applyFill="1" applyBorder="1" applyAlignment="1" applyProtection="1">
      <alignment vertical="center" wrapText="1"/>
      <protection locked="0"/>
    </xf>
    <xf numFmtId="49" fontId="6" fillId="16" borderId="95" xfId="8" applyNumberFormat="1" applyFont="1" applyFill="1" applyBorder="1" applyAlignment="1" applyProtection="1">
      <alignment vertical="center" wrapText="1"/>
      <protection locked="0"/>
    </xf>
    <xf numFmtId="49" fontId="6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5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9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53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154" xfId="8" applyNumberFormat="1" applyFont="1" applyFill="1" applyBorder="1" applyAlignment="1" applyProtection="1">
      <alignment horizontal="center" vertical="center" wrapText="1"/>
      <protection locked="0"/>
    </xf>
    <xf numFmtId="3" fontId="6" fillId="20" borderId="118" xfId="8" applyNumberFormat="1" applyFont="1" applyFill="1" applyBorder="1" applyAlignment="1" applyProtection="1">
      <alignment horizontal="right" vertical="center"/>
      <protection locked="0"/>
    </xf>
    <xf numFmtId="3" fontId="6" fillId="6" borderId="119" xfId="8" applyNumberFormat="1" applyFont="1" applyFill="1" applyBorder="1" applyAlignment="1" applyProtection="1">
      <alignment horizontal="right" vertical="center"/>
      <protection locked="0"/>
    </xf>
    <xf numFmtId="49" fontId="6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95" xfId="0" applyNumberFormat="1" applyFont="1" applyBorder="1" applyAlignment="1">
      <alignment vertical="center" wrapText="1"/>
    </xf>
    <xf numFmtId="49" fontId="6" fillId="16" borderId="11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" xfId="8" applyNumberFormat="1" applyFont="1" applyFill="1" applyBorder="1" applyAlignment="1" applyProtection="1">
      <alignment vertical="center" wrapText="1"/>
      <protection locked="0"/>
    </xf>
    <xf numFmtId="49" fontId="6" fillId="16" borderId="0" xfId="8" applyNumberFormat="1" applyFont="1" applyFill="1" applyBorder="1" applyAlignment="1" applyProtection="1">
      <alignment vertical="center" wrapText="1"/>
      <protection locked="0"/>
    </xf>
    <xf numFmtId="49" fontId="6" fillId="16" borderId="158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3" xfId="1" applyNumberFormat="1" applyFont="1" applyFill="1" applyBorder="1" applyAlignment="1" applyProtection="1">
      <alignment horizontal="right" vertical="center"/>
      <protection locked="0"/>
    </xf>
    <xf numFmtId="3" fontId="27" fillId="0" borderId="12" xfId="8" applyNumberFormat="1" applyFont="1" applyFill="1" applyBorder="1" applyAlignment="1" applyProtection="1">
      <alignment horizontal="right" vertical="center"/>
      <protection locked="0"/>
    </xf>
    <xf numFmtId="3" fontId="27" fillId="0" borderId="28" xfId="8" applyNumberFormat="1" applyFont="1" applyFill="1" applyBorder="1" applyAlignment="1" applyProtection="1">
      <alignment horizontal="right" vertical="center"/>
      <protection locked="0"/>
    </xf>
    <xf numFmtId="49" fontId="27" fillId="16" borderId="12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28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5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27" xfId="8" applyNumberFormat="1" applyFont="1" applyFill="1" applyBorder="1" applyAlignment="1" applyProtection="1">
      <alignment horizontal="right" vertical="center"/>
      <protection locked="0"/>
    </xf>
    <xf numFmtId="3" fontId="11" fillId="0" borderId="26" xfId="8" applyNumberFormat="1" applyFont="1" applyFill="1" applyBorder="1" applyAlignment="1" applyProtection="1">
      <alignment horizontal="right" vertical="center"/>
      <protection locked="0"/>
    </xf>
    <xf numFmtId="49" fontId="6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8" applyNumberFormat="1" applyFont="1" applyFill="1" applyBorder="1" applyAlignment="1" applyProtection="1">
      <alignment vertical="center" wrapText="1"/>
      <protection locked="0"/>
    </xf>
    <xf numFmtId="3" fontId="6" fillId="0" borderId="19" xfId="8" applyNumberFormat="1" applyFont="1" applyFill="1" applyBorder="1" applyAlignment="1" applyProtection="1">
      <alignment horizontal="right" vertical="center"/>
      <protection locked="0"/>
    </xf>
    <xf numFmtId="3" fontId="6" fillId="0" borderId="20" xfId="8" applyNumberFormat="1" applyFont="1" applyFill="1" applyBorder="1" applyAlignment="1" applyProtection="1">
      <alignment horizontal="right" vertical="center"/>
      <protection locked="0"/>
    </xf>
    <xf numFmtId="10" fontId="23" fillId="0" borderId="140" xfId="1" applyNumberFormat="1" applyFont="1" applyFill="1" applyBorder="1" applyAlignment="1" applyProtection="1">
      <alignment horizontal="right" vertical="center"/>
      <protection locked="0"/>
    </xf>
    <xf numFmtId="49" fontId="23" fillId="16" borderId="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5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08" xfId="1" applyNumberFormat="1" applyFont="1" applyFill="1" applyBorder="1" applyAlignment="1" applyProtection="1">
      <alignment horizontal="right" vertical="center"/>
      <protection locked="0"/>
    </xf>
    <xf numFmtId="49" fontId="6" fillId="0" borderId="3" xfId="8" applyNumberFormat="1" applyFont="1" applyFill="1" applyBorder="1" applyAlignment="1" applyProtection="1">
      <alignment vertical="center" wrapText="1"/>
      <protection locked="0"/>
    </xf>
    <xf numFmtId="49" fontId="31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1" xfId="8" applyNumberFormat="1" applyFont="1" applyFill="1" applyBorder="1" applyAlignment="1" applyProtection="1">
      <alignment vertical="center" wrapText="1"/>
      <protection locked="0"/>
    </xf>
    <xf numFmtId="49" fontId="6" fillId="16" borderId="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9" xfId="8" applyNumberFormat="1" applyFont="1" applyFill="1" applyBorder="1" applyAlignment="1" applyProtection="1">
      <alignment horizontal="center" vertical="center" wrapText="1"/>
      <protection locked="0"/>
    </xf>
    <xf numFmtId="10" fontId="11" fillId="12" borderId="8" xfId="1" applyNumberFormat="1" applyFont="1" applyFill="1" applyBorder="1" applyAlignment="1" applyProtection="1">
      <alignment horizontal="right" vertical="center"/>
      <protection locked="0"/>
    </xf>
    <xf numFmtId="3" fontId="31" fillId="12" borderId="6" xfId="8" applyNumberFormat="1" applyFont="1" applyFill="1" applyBorder="1" applyAlignment="1" applyProtection="1">
      <alignment horizontal="right" vertical="center"/>
      <protection locked="0"/>
    </xf>
    <xf numFmtId="3" fontId="31" fillId="12" borderId="7" xfId="8" applyNumberFormat="1" applyFont="1" applyFill="1" applyBorder="1" applyAlignment="1" applyProtection="1">
      <alignment horizontal="right" vertical="center"/>
      <protection locked="0"/>
    </xf>
    <xf numFmtId="49" fontId="6" fillId="0" borderId="159" xfId="0" applyNumberFormat="1" applyFont="1" applyBorder="1" applyAlignment="1">
      <alignment vertical="center" wrapText="1"/>
    </xf>
    <xf numFmtId="49" fontId="6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30" xfId="8" applyNumberFormat="1" applyFont="1" applyFill="1" applyBorder="1" applyAlignment="1" applyProtection="1">
      <alignment horizontal="right" vertical="center"/>
      <protection locked="0"/>
    </xf>
    <xf numFmtId="3" fontId="6" fillId="6" borderId="31" xfId="8" applyNumberFormat="1" applyFont="1" applyFill="1" applyBorder="1" applyAlignment="1" applyProtection="1">
      <alignment horizontal="right" vertical="center"/>
      <protection locked="0"/>
    </xf>
    <xf numFmtId="49" fontId="6" fillId="0" borderId="96" xfId="0" applyNumberFormat="1" applyFont="1" applyBorder="1" applyAlignment="1">
      <alignment vertical="center" wrapText="1"/>
    </xf>
    <xf numFmtId="49" fontId="6" fillId="16" borderId="31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118" xfId="8" applyNumberFormat="1" applyFont="1" applyFill="1" applyBorder="1" applyAlignment="1" applyProtection="1">
      <alignment horizontal="right" vertical="center"/>
      <protection locked="0"/>
    </xf>
    <xf numFmtId="49" fontId="6" fillId="16" borderId="2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>
      <alignment vertical="center" wrapText="1"/>
    </xf>
    <xf numFmtId="49" fontId="6" fillId="0" borderId="165" xfId="0" applyNumberFormat="1" applyFont="1" applyBorder="1" applyAlignment="1">
      <alignment vertical="center" wrapText="1"/>
    </xf>
    <xf numFmtId="49" fontId="6" fillId="16" borderId="3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67" xfId="0" applyNumberFormat="1" applyFont="1" applyBorder="1" applyAlignment="1">
      <alignment vertical="center" wrapText="1"/>
    </xf>
    <xf numFmtId="49" fontId="6" fillId="0" borderId="127" xfId="0" applyNumberFormat="1" applyFont="1" applyBorder="1" applyAlignment="1">
      <alignment vertical="center" wrapText="1"/>
    </xf>
    <xf numFmtId="49" fontId="6" fillId="16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88" xfId="0" applyNumberFormat="1" applyFont="1" applyBorder="1" applyAlignment="1">
      <alignment vertical="center" wrapText="1"/>
    </xf>
    <xf numFmtId="0" fontId="1" fillId="0" borderId="104" xfId="0" applyFont="1" applyBorder="1" applyAlignment="1">
      <alignment vertical="center"/>
    </xf>
    <xf numFmtId="0" fontId="1" fillId="0" borderId="105" xfId="0" applyFont="1" applyBorder="1" applyAlignment="1">
      <alignment vertical="center"/>
    </xf>
    <xf numFmtId="49" fontId="6" fillId="16" borderId="104" xfId="8" applyNumberFormat="1" applyFont="1" applyFill="1" applyBorder="1" applyAlignment="1" applyProtection="1">
      <alignment vertical="center" wrapText="1"/>
      <protection locked="0"/>
    </xf>
    <xf numFmtId="10" fontId="11" fillId="0" borderId="150" xfId="1" applyNumberFormat="1" applyFont="1" applyFill="1" applyBorder="1" applyAlignment="1" applyProtection="1">
      <alignment horizontal="right" vertical="center"/>
      <protection locked="0"/>
    </xf>
    <xf numFmtId="3" fontId="6" fillId="0" borderId="92" xfId="8" applyNumberFormat="1" applyFont="1" applyFill="1" applyBorder="1" applyAlignment="1" applyProtection="1">
      <alignment horizontal="right" vertical="center"/>
      <protection locked="0"/>
    </xf>
    <xf numFmtId="49" fontId="6" fillId="0" borderId="168" xfId="0" applyNumberFormat="1" applyFont="1" applyBorder="1" applyAlignment="1">
      <alignment vertical="center" wrapText="1"/>
    </xf>
    <xf numFmtId="49" fontId="6" fillId="16" borderId="169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117" xfId="1" applyNumberFormat="1" applyFont="1" applyFill="1" applyBorder="1" applyAlignment="1" applyProtection="1">
      <alignment horizontal="right" vertical="center"/>
      <protection locked="0"/>
    </xf>
    <xf numFmtId="49" fontId="6" fillId="16" borderId="17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0" xfId="8" applyNumberFormat="1" applyFont="1" applyFill="1" applyBorder="1" applyAlignment="1" applyProtection="1">
      <alignment horizontal="left" vertical="center" wrapText="1"/>
      <protection locked="0"/>
    </xf>
    <xf numFmtId="10" fontId="33" fillId="0" borderId="117" xfId="1" applyNumberFormat="1" applyFont="1" applyFill="1" applyBorder="1" applyAlignment="1" applyProtection="1">
      <alignment horizontal="right" vertical="center"/>
      <protection locked="0"/>
    </xf>
    <xf numFmtId="10" fontId="6" fillId="0" borderId="183" xfId="1" applyNumberFormat="1" applyFont="1" applyFill="1" applyBorder="1" applyAlignment="1" applyProtection="1">
      <alignment horizontal="right" vertical="center"/>
      <protection locked="0"/>
    </xf>
    <xf numFmtId="10" fontId="11" fillId="2" borderId="9" xfId="1" applyNumberFormat="1" applyFont="1" applyFill="1" applyBorder="1" applyAlignment="1" applyProtection="1">
      <alignment horizontal="right" vertical="center"/>
      <protection locked="0"/>
    </xf>
    <xf numFmtId="3" fontId="11" fillId="2" borderId="2" xfId="8" applyNumberFormat="1" applyFont="1" applyFill="1" applyBorder="1" applyAlignment="1" applyProtection="1">
      <alignment horizontal="right" vertical="center"/>
      <protection locked="0"/>
    </xf>
    <xf numFmtId="3" fontId="11" fillId="2" borderId="10" xfId="8" applyNumberFormat="1" applyFont="1" applyFill="1" applyBorder="1" applyAlignment="1" applyProtection="1">
      <alignment horizontal="right" vertical="center"/>
      <protection locked="0"/>
    </xf>
    <xf numFmtId="49" fontId="11" fillId="18" borderId="185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186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3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8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83" xfId="1" applyNumberFormat="1" applyFont="1" applyFill="1" applyBorder="1" applyAlignment="1" applyProtection="1">
      <alignment horizontal="right" vertical="center"/>
      <protection locked="0"/>
    </xf>
    <xf numFmtId="49" fontId="23" fillId="16" borderId="1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74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117" xfId="1" applyNumberFormat="1" applyFont="1" applyFill="1" applyBorder="1" applyAlignment="1" applyProtection="1">
      <alignment horizontal="right" vertical="center"/>
      <protection locked="0"/>
    </xf>
    <xf numFmtId="3" fontId="12" fillId="0" borderId="118" xfId="8" applyNumberFormat="1" applyFont="1" applyFill="1" applyBorder="1" applyAlignment="1" applyProtection="1">
      <alignment horizontal="right" vertical="center"/>
      <protection locked="0"/>
    </xf>
    <xf numFmtId="3" fontId="12" fillId="0" borderId="119" xfId="8" applyNumberFormat="1" applyFont="1" applyFill="1" applyBorder="1" applyAlignment="1" applyProtection="1">
      <alignment horizontal="right" vertical="center"/>
      <protection locked="0"/>
    </xf>
    <xf numFmtId="49" fontId="23" fillId="16" borderId="1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6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5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27" xfId="8" applyNumberFormat="1" applyFont="1" applyFill="1" applyBorder="1" applyAlignment="1" applyProtection="1">
      <alignment horizontal="right" vertical="center"/>
      <protection locked="0"/>
    </xf>
    <xf numFmtId="3" fontId="12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19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0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201" xfId="8" applyNumberFormat="1" applyFont="1" applyFill="1" applyBorder="1" applyAlignment="1" applyProtection="1">
      <alignment horizontal="right" vertical="center"/>
      <protection locked="0"/>
    </xf>
    <xf numFmtId="3" fontId="12" fillId="0" borderId="202" xfId="8" applyNumberFormat="1" applyFont="1" applyFill="1" applyBorder="1" applyAlignment="1" applyProtection="1">
      <alignment horizontal="right" vertical="center"/>
      <protection locked="0"/>
    </xf>
    <xf numFmtId="49" fontId="19" fillId="17" borderId="15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96" xfId="8" applyNumberFormat="1" applyFont="1" applyFill="1" applyBorder="1" applyAlignment="1" applyProtection="1">
      <alignment horizontal="center" vertical="center" wrapText="1"/>
      <protection locked="0"/>
    </xf>
    <xf numFmtId="10" fontId="12" fillId="12" borderId="8" xfId="1" applyNumberFormat="1" applyFont="1" applyFill="1" applyBorder="1" applyAlignment="1" applyProtection="1">
      <alignment horizontal="right" vertical="center"/>
      <protection locked="0"/>
    </xf>
    <xf numFmtId="3" fontId="19" fillId="12" borderId="6" xfId="8" applyNumberFormat="1" applyFont="1" applyFill="1" applyBorder="1" applyAlignment="1" applyProtection="1">
      <alignment horizontal="right" vertical="center"/>
      <protection locked="0"/>
    </xf>
    <xf numFmtId="3" fontId="19" fillId="12" borderId="7" xfId="8" applyNumberFormat="1" applyFont="1" applyFill="1" applyBorder="1" applyAlignment="1" applyProtection="1">
      <alignment horizontal="right" vertical="center"/>
      <protection locked="0"/>
    </xf>
    <xf numFmtId="49" fontId="19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0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41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04" xfId="8" applyNumberFormat="1" applyFont="1" applyFill="1" applyBorder="1" applyAlignment="1" applyProtection="1">
      <alignment horizontal="right" vertical="center"/>
      <protection locked="0"/>
    </xf>
    <xf numFmtId="49" fontId="23" fillId="16" borderId="15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05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06" xfId="8" applyNumberFormat="1" applyFont="1" applyFill="1" applyBorder="1" applyAlignment="1" applyProtection="1">
      <alignment horizontal="right" vertical="center"/>
      <protection locked="0"/>
    </xf>
    <xf numFmtId="3" fontId="20" fillId="0" borderId="204" xfId="8" applyNumberFormat="1" applyFont="1" applyFill="1" applyBorder="1" applyAlignment="1" applyProtection="1">
      <alignment horizontal="right" vertical="center"/>
      <protection locked="0"/>
    </xf>
    <xf numFmtId="3" fontId="23" fillId="0" borderId="209" xfId="8" applyNumberFormat="1" applyFont="1" applyFill="1" applyBorder="1" applyAlignment="1" applyProtection="1">
      <alignment horizontal="right" vertical="center"/>
      <protection locked="0"/>
    </xf>
    <xf numFmtId="49" fontId="23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1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2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209" xfId="8" applyNumberFormat="1" applyFont="1" applyFill="1" applyBorder="1" applyAlignment="1" applyProtection="1">
      <alignment horizontal="right" vertical="center"/>
      <protection locked="0"/>
    </xf>
    <xf numFmtId="10" fontId="23" fillId="0" borderId="214" xfId="1" applyNumberFormat="1" applyFont="1" applyFill="1" applyBorder="1" applyAlignment="1" applyProtection="1">
      <alignment horizontal="right" vertical="center"/>
      <protection locked="0"/>
    </xf>
    <xf numFmtId="49" fontId="23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0" xfId="8" applyNumberFormat="1" applyFont="1" applyFill="1" applyBorder="1" applyAlignment="1" applyProtection="1">
      <alignment horizontal="center" vertical="center" wrapText="1"/>
      <protection locked="0"/>
    </xf>
    <xf numFmtId="3" fontId="19" fillId="12" borderId="219" xfId="8" applyNumberFormat="1" applyFont="1" applyFill="1" applyBorder="1" applyAlignment="1" applyProtection="1">
      <alignment horizontal="right" vertical="center"/>
      <protection locked="0"/>
    </xf>
    <xf numFmtId="3" fontId="19" fillId="12" borderId="220" xfId="8" applyNumberFormat="1" applyFont="1" applyFill="1" applyBorder="1" applyAlignment="1" applyProtection="1">
      <alignment horizontal="right" vertical="center"/>
      <protection locked="0"/>
    </xf>
    <xf numFmtId="3" fontId="23" fillId="0" borderId="206" xfId="8" applyNumberFormat="1" applyFont="1" applyFill="1" applyBorder="1" applyAlignment="1" applyProtection="1">
      <alignment horizontal="right" vertical="center"/>
      <protection locked="0"/>
    </xf>
    <xf numFmtId="3" fontId="23" fillId="6" borderId="209" xfId="8" applyNumberFormat="1" applyFont="1" applyFill="1" applyBorder="1" applyAlignment="1" applyProtection="1">
      <alignment horizontal="right" vertical="center"/>
      <protection locked="0"/>
    </xf>
    <xf numFmtId="49" fontId="23" fillId="16" borderId="22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81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7" xfId="8" applyNumberFormat="1" applyFont="1" applyFill="1" applyBorder="1" applyAlignment="1" applyProtection="1">
      <alignment horizontal="right" vertical="center"/>
      <protection locked="0"/>
    </xf>
    <xf numFmtId="3" fontId="23" fillId="0" borderId="26" xfId="8" applyNumberFormat="1" applyFont="1" applyFill="1" applyBorder="1" applyAlignment="1" applyProtection="1">
      <alignment horizontal="right" vertical="center"/>
      <protection locked="0"/>
    </xf>
    <xf numFmtId="49" fontId="23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30" xfId="8" applyNumberFormat="1" applyFont="1" applyFill="1" applyBorder="1" applyAlignment="1" applyProtection="1">
      <alignment horizontal="right" vertical="center"/>
      <protection locked="0"/>
    </xf>
    <xf numFmtId="3" fontId="12" fillId="14" borderId="2" xfId="8" applyNumberFormat="1" applyFont="1" applyFill="1" applyBorder="1" applyAlignment="1" applyProtection="1">
      <alignment horizontal="right" vertical="center"/>
      <protection locked="0"/>
    </xf>
    <xf numFmtId="3" fontId="12" fillId="14" borderId="10" xfId="8" applyNumberFormat="1" applyFont="1" applyFill="1" applyBorder="1" applyAlignment="1" applyProtection="1">
      <alignment horizontal="right" vertical="center"/>
      <protection locked="0"/>
    </xf>
    <xf numFmtId="49" fontId="12" fillId="21" borderId="185" xfId="8" applyNumberFormat="1" applyFont="1" applyFill="1" applyBorder="1" applyAlignment="1" applyProtection="1">
      <alignment horizontal="left" vertical="center" wrapText="1"/>
      <protection locked="0"/>
    </xf>
    <xf numFmtId="49" fontId="12" fillId="21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21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21" borderId="10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114" xfId="8" applyNumberFormat="1" applyFont="1" applyFill="1" applyBorder="1" applyAlignment="1" applyProtection="1">
      <alignment horizontal="right" vertical="center"/>
      <protection locked="0"/>
    </xf>
    <xf numFmtId="49" fontId="27" fillId="16" borderId="22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2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" xfId="8" applyNumberFormat="1" applyFont="1" applyFill="1" applyBorder="1" applyAlignment="1" applyProtection="1">
      <alignment vertical="center" wrapText="1"/>
      <protection locked="0"/>
    </xf>
    <xf numFmtId="49" fontId="6" fillId="16" borderId="12" xfId="8" applyNumberFormat="1" applyFont="1" applyFill="1" applyBorder="1" applyAlignment="1" applyProtection="1">
      <alignment vertical="center" wrapText="1"/>
      <protection locked="0"/>
    </xf>
    <xf numFmtId="49" fontId="6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0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8" xfId="8" applyNumberFormat="1" applyFont="1" applyFill="1" applyBorder="1" applyAlignment="1" applyProtection="1">
      <alignment vertical="center" wrapText="1"/>
      <protection locked="0"/>
    </xf>
    <xf numFmtId="49" fontId="27" fillId="16" borderId="0" xfId="8" applyNumberFormat="1" applyFont="1" applyFill="1" applyBorder="1" applyAlignment="1" applyProtection="1">
      <alignment vertical="center" wrapText="1"/>
      <protection locked="0"/>
    </xf>
    <xf numFmtId="49" fontId="6" fillId="16" borderId="23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4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9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66" xfId="8" applyNumberFormat="1" applyFont="1" applyFill="1" applyBorder="1" applyAlignment="1" applyProtection="1">
      <alignment horizontal="left" vertical="center" wrapText="1"/>
      <protection locked="0"/>
    </xf>
    <xf numFmtId="2" fontId="27" fillId="0" borderId="90" xfId="8" applyNumberFormat="1" applyFont="1" applyFill="1" applyBorder="1" applyAlignment="1" applyProtection="1">
      <alignment horizontal="left" vertical="center" wrapText="1"/>
      <protection locked="0"/>
    </xf>
    <xf numFmtId="3" fontId="28" fillId="12" borderId="10" xfId="8" applyNumberFormat="1" applyFont="1" applyFill="1" applyBorder="1" applyAlignment="1" applyProtection="1">
      <alignment horizontal="right" vertical="center"/>
      <protection locked="0"/>
    </xf>
    <xf numFmtId="49" fontId="28" fillId="17" borderId="15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32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9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33" xfId="8" applyNumberFormat="1" applyFont="1" applyFill="1" applyBorder="1" applyAlignment="1" applyProtection="1">
      <alignment vertical="center" wrapText="1"/>
      <protection locked="0"/>
    </xf>
    <xf numFmtId="49" fontId="27" fillId="16" borderId="193" xfId="8" applyNumberFormat="1" applyFont="1" applyFill="1" applyBorder="1" applyAlignment="1" applyProtection="1">
      <alignment vertical="center" wrapText="1"/>
      <protection locked="0"/>
    </xf>
    <xf numFmtId="3" fontId="6" fillId="0" borderId="101" xfId="8" applyNumberFormat="1" applyFont="1" applyFill="1" applyBorder="1" applyAlignment="1" applyProtection="1">
      <alignment horizontal="right" vertical="center"/>
      <protection locked="0"/>
    </xf>
    <xf numFmtId="49" fontId="6" fillId="16" borderId="191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140" xfId="1" applyNumberFormat="1" applyFont="1" applyFill="1" applyBorder="1" applyAlignment="1" applyProtection="1">
      <alignment horizontal="right" vertical="center"/>
      <protection locked="0"/>
    </xf>
    <xf numFmtId="3" fontId="27" fillId="0" borderId="30" xfId="8" applyNumberFormat="1" applyFont="1" applyFill="1" applyBorder="1" applyAlignment="1" applyProtection="1">
      <alignment horizontal="right" vertical="center"/>
      <protection locked="0"/>
    </xf>
    <xf numFmtId="3" fontId="27" fillId="0" borderId="31" xfId="8" applyNumberFormat="1" applyFont="1" applyFill="1" applyBorder="1" applyAlignment="1" applyProtection="1">
      <alignment horizontal="right" vertical="center"/>
      <protection locked="0"/>
    </xf>
    <xf numFmtId="49" fontId="27" fillId="16" borderId="17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8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7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28" xfId="8" applyNumberFormat="1" applyFont="1" applyFill="1" applyBorder="1" applyAlignment="1" applyProtection="1">
      <alignment horizontal="right" vertical="center"/>
      <protection locked="0"/>
    </xf>
    <xf numFmtId="3" fontId="16" fillId="6" borderId="104" xfId="8" applyNumberFormat="1" applyFont="1" applyFill="1" applyBorder="1" applyAlignment="1" applyProtection="1">
      <alignment horizontal="right" vertical="center"/>
      <protection locked="0"/>
    </xf>
    <xf numFmtId="49" fontId="28" fillId="19" borderId="105" xfId="8" applyNumberFormat="1" applyFont="1" applyFill="1" applyBorder="1" applyAlignment="1" applyProtection="1">
      <alignment horizontal="left" vertical="center" wrapText="1"/>
      <protection locked="0"/>
    </xf>
    <xf numFmtId="49" fontId="28" fillId="19" borderId="104" xfId="8" applyNumberFormat="1" applyFont="1" applyFill="1" applyBorder="1" applyAlignment="1" applyProtection="1">
      <alignment horizontal="center" vertical="center" wrapText="1"/>
      <protection locked="0"/>
    </xf>
    <xf numFmtId="49" fontId="28" fillId="19" borderId="12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7" xfId="8" applyNumberFormat="1" applyFont="1" applyFill="1" applyBorder="1" applyAlignment="1" applyProtection="1">
      <alignment horizontal="right" vertical="center"/>
      <protection locked="0"/>
    </xf>
    <xf numFmtId="49" fontId="23" fillId="19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234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19" xfId="8" applyNumberFormat="1" applyFont="1" applyFill="1" applyBorder="1" applyAlignment="1" applyProtection="1">
      <alignment vertical="center" wrapText="1"/>
      <protection locked="0"/>
    </xf>
    <xf numFmtId="49" fontId="23" fillId="16" borderId="181" xfId="8" applyNumberFormat="1" applyFont="1" applyFill="1" applyBorder="1" applyAlignment="1" applyProtection="1">
      <alignment vertical="center" wrapText="1"/>
      <protection locked="0"/>
    </xf>
    <xf numFmtId="49" fontId="23" fillId="16" borderId="2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3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38" xfId="8" applyNumberFormat="1" applyFont="1" applyFill="1" applyBorder="1" applyAlignment="1" applyProtection="1">
      <alignment horizontal="right" vertical="center"/>
      <protection locked="0"/>
    </xf>
    <xf numFmtId="3" fontId="23" fillId="0" borderId="239" xfId="8" applyNumberFormat="1" applyFont="1" applyFill="1" applyBorder="1" applyAlignment="1" applyProtection="1">
      <alignment horizontal="right" vertical="center"/>
      <protection locked="0"/>
    </xf>
    <xf numFmtId="49" fontId="23" fillId="0" borderId="23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240" xfId="1" applyNumberFormat="1" applyFont="1" applyFill="1" applyBorder="1" applyAlignment="1" applyProtection="1">
      <alignment horizontal="right" vertical="center"/>
      <protection locked="0"/>
    </xf>
    <xf numFmtId="49" fontId="23" fillId="16" borderId="24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4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24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4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47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240" xfId="1" applyNumberFormat="1" applyFont="1" applyFill="1" applyBorder="1" applyAlignment="1" applyProtection="1">
      <alignment horizontal="right" vertical="center"/>
      <protection locked="0"/>
    </xf>
    <xf numFmtId="10" fontId="12" fillId="0" borderId="150" xfId="1" applyNumberFormat="1" applyFont="1" applyFill="1" applyBorder="1" applyAlignment="1" applyProtection="1">
      <alignment horizontal="right" vertical="center"/>
      <protection locked="0"/>
    </xf>
    <xf numFmtId="49" fontId="23" fillId="16" borderId="24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5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47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252" xfId="1" applyNumberFormat="1" applyFont="1" applyFill="1" applyBorder="1" applyAlignment="1" applyProtection="1">
      <alignment horizontal="right" vertical="center"/>
      <protection locked="0"/>
    </xf>
    <xf numFmtId="3" fontId="23" fillId="0" borderId="253" xfId="8" applyNumberFormat="1" applyFont="1" applyFill="1" applyBorder="1" applyAlignment="1" applyProtection="1">
      <alignment horizontal="right" vertical="center"/>
      <protection locked="0"/>
    </xf>
    <xf numFmtId="49" fontId="23" fillId="16" borderId="25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5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56" xfId="8" applyNumberFormat="1" applyFont="1" applyFill="1" applyBorder="1" applyAlignment="1" applyProtection="1">
      <alignment vertical="center" wrapText="1"/>
      <protection locked="0"/>
    </xf>
    <xf numFmtId="49" fontId="23" fillId="16" borderId="257" xfId="8" applyNumberFormat="1" applyFont="1" applyFill="1" applyBorder="1" applyAlignment="1" applyProtection="1">
      <alignment vertical="center" wrapText="1"/>
      <protection locked="0"/>
    </xf>
    <xf numFmtId="10" fontId="23" fillId="0" borderId="258" xfId="1" applyNumberFormat="1" applyFont="1" applyFill="1" applyBorder="1" applyAlignment="1" applyProtection="1">
      <alignment horizontal="right" vertical="center"/>
      <protection locked="0"/>
    </xf>
    <xf numFmtId="3" fontId="23" fillId="0" borderId="259" xfId="8" applyNumberFormat="1" applyFont="1" applyFill="1" applyBorder="1" applyAlignment="1" applyProtection="1">
      <alignment horizontal="right" vertical="center"/>
      <protection locked="0"/>
    </xf>
    <xf numFmtId="3" fontId="23" fillId="0" borderId="257" xfId="8" applyNumberFormat="1" applyFont="1" applyFill="1" applyBorder="1" applyAlignment="1" applyProtection="1">
      <alignment horizontal="right" vertical="center"/>
      <protection locked="0"/>
    </xf>
    <xf numFmtId="49" fontId="23" fillId="16" borderId="26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6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6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240" xfId="1" applyNumberFormat="1" applyFont="1" applyFill="1" applyBorder="1" applyAlignment="1" applyProtection="1">
      <alignment horizontal="right" vertical="center"/>
      <protection locked="0"/>
    </xf>
    <xf numFmtId="49" fontId="6" fillId="16" borderId="2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6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68" xfId="8" applyNumberFormat="1" applyFont="1" applyFill="1" applyBorder="1" applyAlignment="1" applyProtection="1">
      <alignment horizontal="right" vertical="center"/>
      <protection locked="0"/>
    </xf>
    <xf numFmtId="3" fontId="6" fillId="0" borderId="269" xfId="8" applyNumberFormat="1" applyFont="1" applyFill="1" applyBorder="1" applyAlignment="1" applyProtection="1">
      <alignment horizontal="right" vertical="center"/>
      <protection locked="0"/>
    </xf>
    <xf numFmtId="10" fontId="11" fillId="0" borderId="240" xfId="1" applyNumberFormat="1" applyFont="1" applyFill="1" applyBorder="1" applyAlignment="1" applyProtection="1">
      <alignment horizontal="right" vertical="center"/>
      <protection locked="0"/>
    </xf>
    <xf numFmtId="49" fontId="6" fillId="16" borderId="25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6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63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271" xfId="8" applyNumberFormat="1" applyFont="1" applyFill="1" applyBorder="1" applyAlignment="1" applyProtection="1">
      <alignment horizontal="right" vertical="center"/>
      <protection locked="0"/>
    </xf>
    <xf numFmtId="49" fontId="6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6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6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16" xfId="1" applyNumberFormat="1" applyFont="1" applyFill="1" applyBorder="1" applyAlignment="1" applyProtection="1">
      <alignment horizontal="right" vertical="center"/>
      <protection locked="0"/>
    </xf>
    <xf numFmtId="3" fontId="6" fillId="0" borderId="12" xfId="8" applyNumberFormat="1" applyFont="1" applyFill="1" applyBorder="1" applyAlignment="1" applyProtection="1">
      <alignment horizontal="right" vertical="center"/>
      <protection locked="0"/>
    </xf>
    <xf numFmtId="2" fontId="6" fillId="0" borderId="27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27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7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8" applyNumberFormat="1" applyFont="1" applyFill="1" applyBorder="1" applyAlignment="1" applyProtection="1">
      <alignment horizontal="right" vertical="center"/>
      <protection locked="0"/>
    </xf>
    <xf numFmtId="2" fontId="6" fillId="0" borderId="90" xfId="8" applyNumberFormat="1" applyFont="1" applyFill="1" applyBorder="1" applyAlignment="1" applyProtection="1">
      <alignment horizontal="left" vertical="center" wrapText="1"/>
      <protection locked="0"/>
    </xf>
    <xf numFmtId="2" fontId="6" fillId="0" borderId="4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8" xfId="8" applyNumberFormat="1" applyFont="1" applyFill="1" applyBorder="1" applyAlignment="1" applyProtection="1">
      <alignment horizontal="left" vertical="center" wrapText="1"/>
      <protection locked="0"/>
    </xf>
    <xf numFmtId="3" fontId="6" fillId="0" borderId="209" xfId="8" applyNumberFormat="1" applyFont="1" applyFill="1" applyBorder="1" applyAlignment="1" applyProtection="1">
      <alignment horizontal="right" vertical="center"/>
      <protection locked="0"/>
    </xf>
    <xf numFmtId="10" fontId="11" fillId="0" borderId="16" xfId="1" applyNumberFormat="1" applyFont="1" applyFill="1" applyBorder="1" applyAlignment="1" applyProtection="1">
      <alignment horizontal="right" vertical="center"/>
      <protection locked="0"/>
    </xf>
    <xf numFmtId="3" fontId="11" fillId="0" borderId="15" xfId="8" applyNumberFormat="1" applyFont="1" applyFill="1" applyBorder="1" applyAlignment="1" applyProtection="1">
      <alignment horizontal="right" vertical="center"/>
      <protection locked="0"/>
    </xf>
    <xf numFmtId="10" fontId="6" fillId="0" borderId="214" xfId="1" applyNumberFormat="1" applyFont="1" applyFill="1" applyBorder="1" applyAlignment="1" applyProtection="1">
      <alignment horizontal="right" vertical="center"/>
      <protection locked="0"/>
    </xf>
    <xf numFmtId="3" fontId="6" fillId="0" borderId="119" xfId="8" applyNumberFormat="1" applyFont="1" applyFill="1" applyBorder="1" applyAlignment="1" applyProtection="1">
      <alignment vertical="center"/>
      <protection locked="0"/>
    </xf>
    <xf numFmtId="49" fontId="6" fillId="16" borderId="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7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280" xfId="0" applyFont="1" applyBorder="1" applyAlignment="1">
      <alignment horizontal="left" vertical="center" wrapText="1"/>
    </xf>
    <xf numFmtId="49" fontId="6" fillId="16" borderId="208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49" fontId="6" fillId="16" borderId="21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1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118" xfId="8" applyNumberFormat="1" applyFont="1" applyFill="1" applyBorder="1" applyAlignment="1" applyProtection="1">
      <alignment vertical="center"/>
      <protection locked="0"/>
    </xf>
    <xf numFmtId="3" fontId="11" fillId="0" borderId="14" xfId="8" applyNumberFormat="1" applyFont="1" applyFill="1" applyBorder="1" applyAlignment="1" applyProtection="1">
      <alignment vertical="center"/>
      <protection locked="0"/>
    </xf>
    <xf numFmtId="3" fontId="11" fillId="0" borderId="104" xfId="8" applyNumberFormat="1" applyFont="1" applyFill="1" applyBorder="1" applyAlignment="1" applyProtection="1">
      <alignment vertical="center"/>
      <protection locked="0"/>
    </xf>
    <xf numFmtId="49" fontId="6" fillId="16" borderId="105" xfId="8" applyNumberFormat="1" applyFont="1" applyFill="1" applyBorder="1" applyAlignment="1" applyProtection="1">
      <alignment vertical="center" wrapText="1"/>
      <protection locked="0"/>
    </xf>
    <xf numFmtId="3" fontId="23" fillId="0" borderId="118" xfId="9" applyNumberFormat="1" applyFont="1" applyBorder="1" applyAlignment="1">
      <alignment horizontal="right" vertical="center"/>
    </xf>
    <xf numFmtId="49" fontId="6" fillId="0" borderId="15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2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81" xfId="9" applyNumberFormat="1" applyFont="1" applyBorder="1" applyAlignment="1">
      <alignment horizontal="right" vertical="center"/>
    </xf>
    <xf numFmtId="3" fontId="6" fillId="0" borderId="104" xfId="8" applyNumberFormat="1" applyFont="1" applyFill="1" applyBorder="1" applyAlignment="1" applyProtection="1">
      <alignment vertical="center"/>
      <protection locked="0"/>
    </xf>
    <xf numFmtId="10" fontId="6" fillId="0" borderId="282" xfId="1" applyNumberFormat="1" applyFont="1" applyFill="1" applyBorder="1" applyAlignment="1" applyProtection="1">
      <alignment horizontal="right" vertical="center"/>
      <protection locked="0"/>
    </xf>
    <xf numFmtId="3" fontId="6" fillId="0" borderId="283" xfId="8" applyNumberFormat="1" applyFont="1" applyFill="1" applyBorder="1" applyAlignment="1" applyProtection="1">
      <alignment horizontal="right" vertical="center"/>
      <protection locked="0"/>
    </xf>
    <xf numFmtId="3" fontId="6" fillId="0" borderId="283" xfId="8" applyNumberFormat="1" applyFont="1" applyFill="1" applyBorder="1" applyAlignment="1" applyProtection="1">
      <alignment vertical="center"/>
      <protection locked="0"/>
    </xf>
    <xf numFmtId="49" fontId="6" fillId="16" borderId="28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87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88" xfId="9" applyNumberFormat="1" applyFont="1" applyBorder="1" applyAlignment="1">
      <alignment horizontal="right" vertical="center"/>
    </xf>
    <xf numFmtId="10" fontId="6" fillId="0" borderId="289" xfId="1" applyNumberFormat="1" applyFont="1" applyFill="1" applyBorder="1" applyAlignment="1" applyProtection="1">
      <alignment horizontal="right" vertical="center"/>
      <protection locked="0"/>
    </xf>
    <xf numFmtId="3" fontId="6" fillId="0" borderId="290" xfId="8" applyNumberFormat="1" applyFont="1" applyFill="1" applyBorder="1" applyAlignment="1" applyProtection="1">
      <alignment horizontal="right" vertical="center"/>
      <protection locked="0"/>
    </xf>
    <xf numFmtId="3" fontId="6" fillId="0" borderId="290" xfId="8" applyNumberFormat="1" applyFont="1" applyFill="1" applyBorder="1" applyAlignment="1" applyProtection="1">
      <alignment vertical="center"/>
      <protection locked="0"/>
    </xf>
    <xf numFmtId="49" fontId="6" fillId="16" borderId="29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4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7" xfId="9" applyNumberFormat="1" applyFont="1" applyBorder="1" applyAlignment="1">
      <alignment horizontal="right" vertical="center"/>
    </xf>
    <xf numFmtId="3" fontId="6" fillId="0" borderId="271" xfId="8" applyNumberFormat="1" applyFont="1" applyFill="1" applyBorder="1" applyAlignment="1" applyProtection="1">
      <alignment vertical="center"/>
      <protection locked="0"/>
    </xf>
    <xf numFmtId="49" fontId="6" fillId="16" borderId="29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9" applyNumberFormat="1" applyFont="1" applyBorder="1" applyAlignment="1">
      <alignment horizontal="right" vertical="center"/>
    </xf>
    <xf numFmtId="3" fontId="6" fillId="0" borderId="31" xfId="8" applyNumberFormat="1" applyFont="1" applyFill="1" applyBorder="1" applyAlignment="1" applyProtection="1">
      <alignment vertical="center"/>
      <protection locked="0"/>
    </xf>
    <xf numFmtId="49" fontId="6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97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15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14" xfId="8" applyNumberFormat="1" applyFont="1" applyFill="1" applyBorder="1" applyAlignment="1" applyProtection="1">
      <alignment vertical="center"/>
      <protection locked="0"/>
    </xf>
    <xf numFmtId="0" fontId="6" fillId="0" borderId="287" xfId="8" applyNumberFormat="1" applyFont="1" applyFill="1" applyBorder="1" applyAlignment="1" applyProtection="1">
      <alignment vertical="center"/>
      <protection locked="0"/>
    </xf>
    <xf numFmtId="0" fontId="6" fillId="0" borderId="119" xfId="8" applyNumberFormat="1" applyFont="1" applyFill="1" applyBorder="1" applyAlignment="1" applyProtection="1">
      <alignment vertical="center"/>
      <protection locked="0"/>
    </xf>
    <xf numFmtId="49" fontId="6" fillId="16" borderId="29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99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" applyNumberFormat="1" applyFont="1" applyFill="1" applyBorder="1" applyAlignment="1" applyProtection="1">
      <alignment vertical="center"/>
      <protection locked="0"/>
    </xf>
    <xf numFmtId="49" fontId="6" fillId="16" borderId="30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3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289" xfId="1" applyNumberFormat="1" applyFont="1" applyFill="1" applyBorder="1" applyAlignment="1" applyProtection="1">
      <alignment horizontal="right" vertical="center"/>
      <protection locked="0"/>
    </xf>
    <xf numFmtId="3" fontId="33" fillId="0" borderId="118" xfId="8" applyNumberFormat="1" applyFont="1" applyFill="1" applyBorder="1" applyAlignment="1" applyProtection="1">
      <alignment vertical="center"/>
      <protection locked="0"/>
    </xf>
    <xf numFmtId="3" fontId="33" fillId="0" borderId="119" xfId="8" applyNumberFormat="1" applyFont="1" applyFill="1" applyBorder="1" applyAlignment="1" applyProtection="1">
      <alignment vertical="center"/>
      <protection locked="0"/>
    </xf>
    <xf numFmtId="49" fontId="6" fillId="16" borderId="30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8" xfId="9" applyNumberFormat="1" applyFont="1" applyBorder="1" applyAlignment="1">
      <alignment horizontal="right" vertical="center"/>
    </xf>
    <xf numFmtId="10" fontId="6" fillId="0" borderId="309" xfId="1" applyNumberFormat="1" applyFont="1" applyFill="1" applyBorder="1" applyAlignment="1" applyProtection="1">
      <alignment horizontal="right" vertical="center"/>
      <protection locked="0"/>
    </xf>
    <xf numFmtId="3" fontId="6" fillId="0" borderId="310" xfId="8" applyNumberFormat="1" applyFont="1" applyFill="1" applyBorder="1" applyAlignment="1" applyProtection="1">
      <alignment horizontal="right" vertical="center"/>
      <protection locked="0"/>
    </xf>
    <xf numFmtId="3" fontId="6" fillId="0" borderId="310" xfId="8" applyNumberFormat="1" applyFont="1" applyFill="1" applyBorder="1" applyAlignment="1" applyProtection="1">
      <alignment vertical="center"/>
      <protection locked="0"/>
    </xf>
    <xf numFmtId="3" fontId="11" fillId="0" borderId="310" xfId="8" applyNumberFormat="1" applyFont="1" applyFill="1" applyBorder="1" applyAlignment="1" applyProtection="1">
      <alignment horizontal="right" vertical="center"/>
      <protection locked="0"/>
    </xf>
    <xf numFmtId="10" fontId="27" fillId="0" borderId="312" xfId="1" applyNumberFormat="1" applyFont="1" applyFill="1" applyBorder="1" applyAlignment="1" applyProtection="1">
      <alignment horizontal="right" vertical="center"/>
      <protection locked="0"/>
    </xf>
    <xf numFmtId="3" fontId="27" fillId="0" borderId="310" xfId="8" applyNumberFormat="1" applyFont="1" applyFill="1" applyBorder="1" applyAlignment="1" applyProtection="1">
      <alignment horizontal="right" vertical="center"/>
      <protection locked="0"/>
    </xf>
    <xf numFmtId="3" fontId="27" fillId="0" borderId="313" xfId="8" applyNumberFormat="1" applyFont="1" applyFill="1" applyBorder="1" applyAlignment="1" applyProtection="1">
      <alignment horizontal="right" vertical="center"/>
      <protection locked="0"/>
    </xf>
    <xf numFmtId="49" fontId="27" fillId="16" borderId="31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5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89" xfId="1" applyNumberFormat="1" applyFont="1" applyFill="1" applyBorder="1" applyAlignment="1" applyProtection="1">
      <alignment horizontal="right" vertical="center"/>
      <protection locked="0"/>
    </xf>
    <xf numFmtId="3" fontId="27" fillId="0" borderId="204" xfId="8" applyNumberFormat="1" applyFont="1" applyFill="1" applyBorder="1" applyAlignment="1" applyProtection="1">
      <alignment horizontal="right" vertical="center"/>
      <protection locked="0"/>
    </xf>
    <xf numFmtId="3" fontId="16" fillId="0" borderId="104" xfId="8" applyNumberFormat="1" applyFont="1" applyFill="1" applyBorder="1" applyAlignment="1" applyProtection="1">
      <alignment horizontal="right" vertical="center"/>
      <protection locked="0"/>
    </xf>
    <xf numFmtId="49" fontId="27" fillId="16" borderId="31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1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2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2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24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326" xfId="8" applyNumberFormat="1" applyFont="1" applyFill="1" applyBorder="1" applyAlignment="1" applyProtection="1">
      <alignment horizontal="left" vertical="center" wrapText="1"/>
      <protection locked="0"/>
    </xf>
    <xf numFmtId="3" fontId="11" fillId="2" borderId="3" xfId="8" applyNumberFormat="1" applyFont="1" applyFill="1" applyBorder="1" applyAlignment="1" applyProtection="1">
      <alignment horizontal="right" vertical="center"/>
      <protection locked="0"/>
    </xf>
    <xf numFmtId="3" fontId="11" fillId="2" borderId="4" xfId="8" applyNumberFormat="1" applyFont="1" applyFill="1" applyBorder="1" applyAlignment="1" applyProtection="1">
      <alignment horizontal="right" vertical="center"/>
      <protection locked="0"/>
    </xf>
    <xf numFmtId="49" fontId="11" fillId="18" borderId="327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328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329" xfId="1" applyNumberFormat="1" applyFont="1" applyFill="1" applyBorder="1" applyAlignment="1" applyProtection="1">
      <alignment horizontal="right" vertical="center"/>
      <protection locked="0"/>
    </xf>
    <xf numFmtId="49" fontId="27" fillId="0" borderId="97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127" xfId="0" applyFont="1" applyBorder="1" applyAlignment="1">
      <alignment horizontal="left" vertical="center" wrapText="1"/>
    </xf>
    <xf numFmtId="49" fontId="27" fillId="0" borderId="28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166" xfId="0" applyFont="1" applyBorder="1" applyAlignment="1">
      <alignment horizontal="left" vertical="center" wrapText="1"/>
    </xf>
    <xf numFmtId="49" fontId="27" fillId="0" borderId="119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240" xfId="1" applyNumberFormat="1" applyFont="1" applyFill="1" applyBorder="1" applyAlignment="1" applyProtection="1">
      <alignment horizontal="right" vertical="center"/>
      <protection locked="0"/>
    </xf>
    <xf numFmtId="0" fontId="27" fillId="0" borderId="330" xfId="0" applyFont="1" applyBorder="1" applyAlignment="1">
      <alignment horizontal="left" vertical="center" wrapText="1"/>
    </xf>
    <xf numFmtId="49" fontId="27" fillId="0" borderId="319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8" applyNumberFormat="1" applyFont="1" applyFill="1" applyBorder="1" applyAlignment="1" applyProtection="1">
      <alignment vertical="center" wrapText="1"/>
      <protection locked="0"/>
    </xf>
    <xf numFmtId="2" fontId="6" fillId="0" borderId="156" xfId="8" applyNumberFormat="1" applyFont="1" applyFill="1" applyBorder="1" applyAlignment="1" applyProtection="1">
      <alignment horizontal="left" vertical="center" wrapText="1"/>
      <protection locked="0"/>
    </xf>
    <xf numFmtId="2" fontId="6" fillId="0" borderId="33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3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3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271" xfId="8" applyNumberFormat="1" applyFont="1" applyFill="1" applyBorder="1" applyAlignment="1" applyProtection="1">
      <alignment horizontal="right" vertical="center"/>
      <protection locked="0"/>
    </xf>
    <xf numFmtId="3" fontId="27" fillId="0" borderId="6" xfId="8" applyNumberFormat="1" applyFont="1" applyFill="1" applyBorder="1" applyAlignment="1" applyProtection="1">
      <alignment horizontal="right" vertical="center"/>
      <protection locked="0"/>
    </xf>
    <xf numFmtId="3" fontId="27" fillId="0" borderId="7" xfId="8" applyNumberFormat="1" applyFont="1" applyFill="1" applyBorder="1" applyAlignment="1" applyProtection="1">
      <alignment horizontal="right" vertical="center"/>
      <protection locked="0"/>
    </xf>
    <xf numFmtId="3" fontId="16" fillId="0" borderId="7" xfId="8" applyNumberFormat="1" applyFont="1" applyFill="1" applyBorder="1" applyAlignment="1" applyProtection="1">
      <alignment horizontal="right" vertical="center"/>
      <protection locked="0"/>
    </xf>
    <xf numFmtId="49" fontId="27" fillId="16" borderId="1" xfId="8" applyNumberFormat="1" applyFont="1" applyFill="1" applyBorder="1" applyAlignment="1" applyProtection="1">
      <alignment vertical="center" wrapText="1"/>
      <protection locked="0"/>
    </xf>
    <xf numFmtId="49" fontId="27" fillId="16" borderId="7" xfId="8" applyNumberFormat="1" applyFont="1" applyFill="1" applyBorder="1" applyAlignment="1" applyProtection="1">
      <alignment vertical="center" wrapText="1"/>
      <protection locked="0"/>
    </xf>
    <xf numFmtId="49" fontId="27" fillId="0" borderId="6" xfId="8" applyNumberFormat="1" applyFont="1" applyFill="1" applyBorder="1" applyAlignment="1" applyProtection="1">
      <alignment vertical="center" wrapText="1"/>
      <protection locked="0"/>
    </xf>
    <xf numFmtId="49" fontId="27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1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36" xfId="8" applyNumberFormat="1" applyFont="1" applyFill="1" applyBorder="1" applyAlignment="1" applyProtection="1">
      <alignment horizontal="right" vertical="center"/>
      <protection locked="0"/>
    </xf>
    <xf numFmtId="49" fontId="6" fillId="0" borderId="337" xfId="8" applyNumberFormat="1" applyFont="1" applyFill="1" applyBorder="1" applyAlignment="1" applyProtection="1">
      <alignment horizontal="left" vertical="center" wrapText="1"/>
      <protection locked="0"/>
    </xf>
    <xf numFmtId="3" fontId="27" fillId="0" borderId="338" xfId="8" applyNumberFormat="1" applyFont="1" applyFill="1" applyBorder="1" applyAlignment="1" applyProtection="1">
      <alignment horizontal="right" vertical="center"/>
      <protection locked="0"/>
    </xf>
    <xf numFmtId="49" fontId="27" fillId="16" borderId="33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55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8" applyNumberFormat="1" applyFont="1" applyFill="1" applyBorder="1" applyAlignment="1" applyProtection="1">
      <alignment vertical="center" wrapText="1"/>
      <protection locked="0"/>
    </xf>
    <xf numFmtId="49" fontId="27" fillId="16" borderId="33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38" xfId="8" applyNumberFormat="1" applyFont="1" applyFill="1" applyBorder="1" applyAlignment="1" applyProtection="1">
      <alignment horizontal="right" vertical="center"/>
      <protection locked="0"/>
    </xf>
    <xf numFmtId="49" fontId="6" fillId="16" borderId="3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4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289" xfId="1" applyNumberFormat="1" applyFont="1" applyFill="1" applyBorder="1" applyAlignment="1" applyProtection="1">
      <alignment horizontal="right" vertical="center"/>
      <protection locked="0"/>
    </xf>
    <xf numFmtId="3" fontId="23" fillId="0" borderId="338" xfId="8" applyNumberFormat="1" applyFont="1" applyFill="1" applyBorder="1" applyAlignment="1" applyProtection="1">
      <alignment horizontal="right" vertical="center"/>
      <protection locked="0"/>
    </xf>
    <xf numFmtId="49" fontId="23" fillId="16" borderId="3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19" borderId="34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48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1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49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105" xfId="8" applyNumberFormat="1" applyFont="1" applyFill="1" applyBorder="1" applyAlignment="1" applyProtection="1">
      <alignment horizontal="left" vertical="center" wrapText="1"/>
      <protection locked="0"/>
    </xf>
    <xf numFmtId="2" fontId="6" fillId="0" borderId="33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50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8" applyNumberFormat="1" applyFont="1" applyFill="1" applyBorder="1" applyAlignment="1" applyProtection="1">
      <alignment vertical="center" wrapText="1"/>
      <protection locked="0"/>
    </xf>
    <xf numFmtId="49" fontId="6" fillId="16" borderId="35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6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352" xfId="8" applyNumberFormat="1" applyFont="1" applyFill="1" applyBorder="1" applyAlignment="1" applyProtection="1">
      <alignment horizontal="right" vertical="center"/>
      <protection locked="0"/>
    </xf>
    <xf numFmtId="49" fontId="6" fillId="16" borderId="353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352" xfId="8" applyNumberFormat="1" applyFont="1" applyFill="1" applyBorder="1" applyAlignment="1" applyProtection="1">
      <alignment horizontal="right" vertical="center"/>
      <protection locked="0"/>
    </xf>
    <xf numFmtId="3" fontId="33" fillId="0" borderId="338" xfId="8" applyNumberFormat="1" applyFont="1" applyFill="1" applyBorder="1" applyAlignment="1" applyProtection="1">
      <alignment horizontal="right" vertical="center"/>
      <protection locked="0"/>
    </xf>
    <xf numFmtId="49" fontId="6" fillId="16" borderId="3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57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37" xfId="8" applyNumberFormat="1" applyFont="1" applyFill="1" applyBorder="1" applyAlignment="1" applyProtection="1">
      <alignment vertical="center" wrapText="1"/>
      <protection locked="0"/>
    </xf>
    <xf numFmtId="3" fontId="6" fillId="0" borderId="358" xfId="8" applyNumberFormat="1" applyFont="1" applyFill="1" applyBorder="1" applyAlignment="1" applyProtection="1">
      <alignment horizontal="right" vertical="center"/>
      <protection locked="0"/>
    </xf>
    <xf numFmtId="3" fontId="33" fillId="0" borderId="358" xfId="8" applyNumberFormat="1" applyFont="1" applyFill="1" applyBorder="1" applyAlignment="1" applyProtection="1">
      <alignment horizontal="right" vertical="center"/>
      <protection locked="0"/>
    </xf>
    <xf numFmtId="10" fontId="27" fillId="0" borderId="359" xfId="1" applyNumberFormat="1" applyFont="1" applyFill="1" applyBorder="1" applyAlignment="1" applyProtection="1">
      <alignment horizontal="right" vertical="center"/>
      <protection locked="0"/>
    </xf>
    <xf numFmtId="49" fontId="27" fillId="16" borderId="33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60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28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26" xfId="8" applyNumberFormat="1" applyFont="1" applyFill="1" applyBorder="1" applyAlignment="1" applyProtection="1">
      <alignment horizontal="right" vertical="center"/>
      <protection locked="0"/>
    </xf>
    <xf numFmtId="3" fontId="28" fillId="12" borderId="7" xfId="8" applyNumberFormat="1" applyFont="1" applyFill="1" applyBorder="1" applyAlignment="1" applyProtection="1">
      <alignment horizontal="right" vertical="center"/>
      <protection locked="0"/>
    </xf>
    <xf numFmtId="49" fontId="28" fillId="17" borderId="79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41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5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5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48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119" xfId="8" applyNumberFormat="1" applyFont="1" applyFill="1" applyBorder="1" applyAlignment="1" applyProtection="1">
      <alignment horizontal="right" vertical="center"/>
      <protection locked="0"/>
    </xf>
    <xf numFmtId="3" fontId="28" fillId="12" borderId="119" xfId="8" applyNumberFormat="1" applyFont="1" applyFill="1" applyBorder="1" applyAlignment="1" applyProtection="1">
      <alignment horizontal="right" vertical="center"/>
      <protection locked="0"/>
    </xf>
    <xf numFmtId="49" fontId="28" fillId="17" borderId="345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341" xfId="8" applyNumberFormat="1" applyFont="1" applyFill="1" applyBorder="1" applyAlignment="1" applyProtection="1">
      <alignment horizontal="center" vertical="center" wrapText="1"/>
      <protection locked="0"/>
    </xf>
    <xf numFmtId="3" fontId="28" fillId="12" borderId="104" xfId="8" applyNumberFormat="1" applyFont="1" applyFill="1" applyBorder="1" applyAlignment="1" applyProtection="1">
      <alignment horizontal="right" vertical="center"/>
      <protection locked="0"/>
    </xf>
    <xf numFmtId="49" fontId="28" fillId="17" borderId="93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1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61" xfId="8" applyNumberFormat="1" applyFont="1" applyFill="1" applyBorder="1" applyAlignment="1" applyProtection="1">
      <alignment horizontal="left" vertical="center" wrapText="1"/>
      <protection locked="0"/>
    </xf>
    <xf numFmtId="10" fontId="11" fillId="0" borderId="289" xfId="1" applyNumberFormat="1" applyFont="1" applyFill="1" applyBorder="1" applyAlignment="1" applyProtection="1">
      <alignment horizontal="right" vertical="center"/>
      <protection locked="0"/>
    </xf>
    <xf numFmtId="49" fontId="27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9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8" applyNumberFormat="1" applyFont="1" applyFill="1" applyBorder="1" applyAlignment="1" applyProtection="1">
      <alignment vertical="center" wrapText="1"/>
      <protection locked="0"/>
    </xf>
    <xf numFmtId="49" fontId="23" fillId="0" borderId="341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2" xfId="8" applyNumberFormat="1" applyFont="1" applyFill="1" applyBorder="1" applyAlignment="1" applyProtection="1">
      <alignment horizontal="right" vertical="center"/>
      <protection locked="0"/>
    </xf>
    <xf numFmtId="49" fontId="27" fillId="16" borderId="119" xfId="8" applyNumberFormat="1" applyFont="1" applyFill="1" applyBorder="1" applyAlignment="1" applyProtection="1">
      <alignment vertical="center" wrapText="1"/>
      <protection locked="0"/>
    </xf>
    <xf numFmtId="49" fontId="27" fillId="16" borderId="337" xfId="8" applyNumberFormat="1" applyFont="1" applyFill="1" applyBorder="1" applyAlignment="1" applyProtection="1">
      <alignment vertical="center" wrapText="1"/>
      <protection locked="0"/>
    </xf>
    <xf numFmtId="49" fontId="23" fillId="16" borderId="34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63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289" xfId="1" applyNumberFormat="1" applyFont="1" applyFill="1" applyBorder="1" applyAlignment="1" applyProtection="1">
      <alignment horizontal="right" vertical="center"/>
      <protection locked="0"/>
    </xf>
    <xf numFmtId="49" fontId="6" fillId="16" borderId="3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6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7" xfId="8" applyNumberFormat="1" applyFont="1" applyFill="1" applyBorder="1" applyAlignment="1" applyProtection="1">
      <alignment horizontal="right" vertical="center"/>
      <protection locked="0"/>
    </xf>
    <xf numFmtId="49" fontId="27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50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368" xfId="8" applyNumberFormat="1" applyFont="1" applyFill="1" applyBorder="1" applyAlignment="1" applyProtection="1">
      <alignment horizontal="right" vertical="center"/>
      <protection locked="0"/>
    </xf>
    <xf numFmtId="10" fontId="6" fillId="0" borderId="370" xfId="1" applyNumberFormat="1" applyFont="1" applyFill="1" applyBorder="1" applyAlignment="1" applyProtection="1">
      <alignment horizontal="right" vertical="center"/>
      <protection locked="0"/>
    </xf>
    <xf numFmtId="49" fontId="6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68" xfId="8" applyNumberFormat="1" applyFont="1" applyFill="1" applyBorder="1" applyAlignment="1" applyProtection="1">
      <alignment horizontal="right" vertical="center"/>
      <protection locked="0"/>
    </xf>
    <xf numFmtId="49" fontId="23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370" xfId="1" applyNumberFormat="1" applyFont="1" applyFill="1" applyBorder="1" applyAlignment="1" applyProtection="1">
      <alignment horizontal="right" vertical="center"/>
      <protection locked="0"/>
    </xf>
    <xf numFmtId="49" fontId="23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368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370" xfId="1" applyNumberFormat="1" applyFont="1" applyFill="1" applyBorder="1" applyAlignment="1" applyProtection="1">
      <alignment horizontal="right" vertical="center"/>
      <protection locked="0"/>
    </xf>
    <xf numFmtId="3" fontId="11" fillId="0" borderId="368" xfId="8" applyNumberFormat="1" applyFont="1" applyFill="1" applyBorder="1" applyAlignment="1" applyProtection="1">
      <alignment horizontal="right" vertical="center"/>
      <protection locked="0"/>
    </xf>
    <xf numFmtId="3" fontId="27" fillId="0" borderId="358" xfId="8" applyNumberFormat="1" applyFont="1" applyFill="1" applyBorder="1" applyAlignment="1" applyProtection="1">
      <alignment horizontal="right" vertical="center"/>
      <protection locked="0"/>
    </xf>
    <xf numFmtId="49" fontId="27" fillId="16" borderId="37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7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48" xfId="8" applyNumberFormat="1" applyFont="1" applyFill="1" applyBorder="1" applyAlignment="1" applyProtection="1">
      <alignment horizontal="left" vertical="center" wrapText="1"/>
      <protection locked="0"/>
    </xf>
    <xf numFmtId="3" fontId="16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7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8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31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31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31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8" applyNumberFormat="1" applyFont="1" applyFill="1" applyBorder="1" applyAlignment="1" applyProtection="1">
      <alignment horizontal="right" vertical="center"/>
      <protection locked="0"/>
    </xf>
    <xf numFmtId="3" fontId="12" fillId="2" borderId="4" xfId="8" applyNumberFormat="1" applyFont="1" applyFill="1" applyBorder="1" applyAlignment="1" applyProtection="1">
      <alignment horizontal="right" vertical="center"/>
      <protection locked="0"/>
    </xf>
    <xf numFmtId="49" fontId="12" fillId="18" borderId="185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3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68" xfId="8" applyNumberFormat="1" applyFont="1" applyFill="1" applyBorder="1" applyAlignment="1" applyProtection="1">
      <alignment horizontal="right" vertical="center"/>
      <protection locked="0"/>
    </xf>
    <xf numFmtId="49" fontId="27" fillId="0" borderId="37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63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3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359" xfId="1" applyNumberFormat="1" applyFont="1" applyFill="1" applyBorder="1" applyAlignment="1" applyProtection="1">
      <alignment horizontal="right" vertical="center"/>
      <protection locked="0"/>
    </xf>
    <xf numFmtId="3" fontId="23" fillId="0" borderId="358" xfId="8" applyNumberFormat="1" applyFont="1" applyFill="1" applyBorder="1" applyAlignment="1" applyProtection="1">
      <alignment horizontal="right" vertical="center"/>
      <protection locked="0"/>
    </xf>
    <xf numFmtId="49" fontId="23" fillId="16" borderId="344" xfId="8" applyNumberFormat="1" applyFont="1" applyFill="1" applyBorder="1" applyAlignment="1" applyProtection="1">
      <alignment horizontal="left" vertical="center" wrapText="1"/>
      <protection locked="0"/>
    </xf>
    <xf numFmtId="10" fontId="12" fillId="0" borderId="370" xfId="1" applyNumberFormat="1" applyFont="1" applyFill="1" applyBorder="1" applyAlignment="1" applyProtection="1">
      <alignment horizontal="right" vertical="center"/>
      <protection locked="0"/>
    </xf>
    <xf numFmtId="3" fontId="12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15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6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22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359" xfId="1" applyNumberFormat="1" applyFont="1" applyFill="1" applyBorder="1" applyAlignment="1" applyProtection="1">
      <alignment horizontal="right" vertical="center"/>
      <protection locked="0"/>
    </xf>
    <xf numFmtId="3" fontId="27" fillId="0" borderId="352" xfId="8" applyNumberFormat="1" applyFont="1" applyFill="1" applyBorder="1" applyAlignment="1" applyProtection="1">
      <alignment horizontal="right" vertical="center"/>
      <protection locked="0"/>
    </xf>
    <xf numFmtId="10" fontId="27" fillId="0" borderId="370" xfId="1" applyNumberFormat="1" applyFont="1" applyFill="1" applyBorder="1" applyAlignment="1" applyProtection="1">
      <alignment horizontal="right" vertical="center"/>
      <protection locked="0"/>
    </xf>
    <xf numFmtId="49" fontId="6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9" xfId="8" applyNumberFormat="1" applyFont="1" applyFill="1" applyBorder="1" applyAlignment="1" applyProtection="1">
      <alignment horizontal="center" vertical="center" wrapText="1"/>
      <protection locked="0"/>
    </xf>
    <xf numFmtId="3" fontId="11" fillId="6" borderId="14" xfId="8" applyNumberFormat="1" applyFont="1" applyFill="1" applyBorder="1" applyAlignment="1" applyProtection="1">
      <alignment horizontal="right" vertical="center"/>
      <protection locked="0"/>
    </xf>
    <xf numFmtId="3" fontId="11" fillId="6" borderId="368" xfId="8" applyNumberFormat="1" applyFont="1" applyFill="1" applyBorder="1" applyAlignment="1" applyProtection="1">
      <alignment horizontal="right" vertical="center"/>
      <protection locked="0"/>
    </xf>
    <xf numFmtId="49" fontId="31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341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19" xfId="0" applyFont="1" applyBorder="1" applyAlignment="1">
      <alignment vertical="center"/>
    </xf>
    <xf numFmtId="0" fontId="65" fillId="0" borderId="354" xfId="0" applyFont="1" applyBorder="1" applyAlignment="1">
      <alignment vertical="center"/>
    </xf>
    <xf numFmtId="49" fontId="16" fillId="19" borderId="355" xfId="8" applyNumberFormat="1" applyFont="1" applyFill="1" applyBorder="1" applyAlignment="1" applyProtection="1">
      <alignment vertical="center" wrapText="1"/>
      <protection locked="0"/>
    </xf>
    <xf numFmtId="49" fontId="28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68" xfId="0" applyFont="1" applyBorder="1" applyAlignment="1">
      <alignment vertical="center"/>
    </xf>
    <xf numFmtId="0" fontId="1" fillId="0" borderId="378" xfId="0" applyFont="1" applyBorder="1" applyAlignment="1">
      <alignment vertical="center"/>
    </xf>
    <xf numFmtId="49" fontId="11" fillId="19" borderId="368" xfId="8" applyNumberFormat="1" applyFont="1" applyFill="1" applyBorder="1" applyAlignment="1" applyProtection="1">
      <alignment vertical="center" wrapText="1"/>
      <protection locked="0"/>
    </xf>
    <xf numFmtId="0" fontId="1" fillId="0" borderId="369" xfId="0" applyFont="1" applyBorder="1" applyAlignment="1">
      <alignment horizontal="left" vertical="center" wrapText="1"/>
    </xf>
    <xf numFmtId="49" fontId="11" fillId="19" borderId="369" xfId="8" applyNumberFormat="1" applyFont="1" applyFill="1" applyBorder="1" applyAlignment="1" applyProtection="1">
      <alignment horizontal="left" vertical="center" wrapText="1"/>
      <protection locked="0"/>
    </xf>
    <xf numFmtId="3" fontId="6" fillId="6" borderId="14" xfId="8" applyNumberFormat="1" applyFont="1" applyFill="1" applyBorder="1" applyAlignment="1" applyProtection="1">
      <alignment horizontal="right" vertical="center"/>
      <protection locked="0"/>
    </xf>
    <xf numFmtId="3" fontId="6" fillId="6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87" xfId="8" applyNumberFormat="1" applyFont="1" applyFill="1" applyBorder="1" applyAlignment="1" applyProtection="1">
      <alignment horizontal="left" vertical="center" wrapText="1"/>
      <protection locked="0"/>
    </xf>
    <xf numFmtId="49" fontId="11" fillId="17" borderId="112" xfId="8" applyNumberFormat="1" applyFont="1" applyFill="1" applyBorder="1" applyAlignment="1" applyProtection="1">
      <alignment horizontal="left" vertical="center" wrapText="1"/>
      <protection locked="0"/>
    </xf>
    <xf numFmtId="49" fontId="11" fillId="17" borderId="113" xfId="8" applyNumberFormat="1" applyFont="1" applyFill="1" applyBorder="1" applyAlignment="1" applyProtection="1">
      <alignment horizontal="center" vertical="center" wrapText="1"/>
      <protection locked="0"/>
    </xf>
    <xf numFmtId="49" fontId="11" fillId="12" borderId="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8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9" xfId="8" applyNumberFormat="1" applyFont="1" applyFill="1" applyBorder="1" applyAlignment="1" applyProtection="1">
      <alignment horizontal="left" vertical="center" wrapText="1"/>
      <protection locked="0"/>
    </xf>
    <xf numFmtId="49" fontId="31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31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28" xfId="8" applyNumberFormat="1" applyFont="1" applyFill="1" applyBorder="1" applyAlignment="1" applyProtection="1">
      <alignment vertical="center" wrapText="1"/>
      <protection locked="0"/>
    </xf>
    <xf numFmtId="49" fontId="31" fillId="0" borderId="368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370" xfId="8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8" applyNumberFormat="1" applyFont="1" applyFill="1" applyBorder="1" applyAlignment="1" applyProtection="1">
      <alignment vertical="center" wrapText="1"/>
      <protection locked="0"/>
    </xf>
    <xf numFmtId="49" fontId="6" fillId="0" borderId="35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392" xfId="1" applyNumberFormat="1" applyFont="1" applyFill="1" applyBorder="1" applyAlignment="1" applyProtection="1">
      <alignment horizontal="right" vertical="center"/>
      <protection locked="0"/>
    </xf>
    <xf numFmtId="3" fontId="6" fillId="0" borderId="393" xfId="8" applyNumberFormat="1" applyFont="1" applyFill="1" applyBorder="1" applyAlignment="1" applyProtection="1">
      <alignment horizontal="right" vertical="center"/>
      <protection locked="0"/>
    </xf>
    <xf numFmtId="3" fontId="6" fillId="0" borderId="394" xfId="8" applyNumberFormat="1" applyFont="1" applyFill="1" applyBorder="1" applyAlignment="1" applyProtection="1">
      <alignment horizontal="right" vertical="center"/>
      <protection locked="0"/>
    </xf>
    <xf numFmtId="49" fontId="6" fillId="16" borderId="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7" xfId="8" applyNumberFormat="1" applyFont="1" applyFill="1" applyBorder="1" applyAlignment="1" applyProtection="1">
      <alignment horizontal="center" vertical="center" wrapText="1"/>
      <protection locked="0"/>
    </xf>
    <xf numFmtId="49" fontId="31" fillId="17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8" borderId="326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154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98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99" xfId="0" applyNumberFormat="1" applyFont="1" applyBorder="1" applyAlignment="1">
      <alignment vertical="center" wrapText="1"/>
    </xf>
    <xf numFmtId="49" fontId="27" fillId="16" borderId="362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358" xfId="8" applyNumberFormat="1" applyFont="1" applyFill="1" applyBorder="1" applyAlignment="1" applyProtection="1">
      <alignment horizontal="right" vertical="center"/>
      <protection locked="0"/>
    </xf>
    <xf numFmtId="49" fontId="27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55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36" xfId="8" applyNumberFormat="1" applyFont="1" applyFill="1" applyBorder="1" applyAlignment="1" applyProtection="1">
      <alignment horizontal="right" vertical="center"/>
      <protection locked="0"/>
    </xf>
    <xf numFmtId="49" fontId="27" fillId="16" borderId="4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03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119" xfId="8" applyNumberFormat="1" applyFont="1" applyFill="1" applyBorder="1" applyAlignment="1" applyProtection="1">
      <alignment horizontal="right" vertical="center"/>
      <protection locked="0"/>
    </xf>
    <xf numFmtId="49" fontId="28" fillId="17" borderId="326" xfId="8" applyNumberFormat="1" applyFont="1" applyFill="1" applyBorder="1" applyAlignment="1" applyProtection="1">
      <alignment horizontal="left" vertical="center" wrapText="1"/>
      <protection locked="0"/>
    </xf>
    <xf numFmtId="49" fontId="28" fillId="17" borderId="1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8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07" xfId="1" applyNumberFormat="1" applyFont="1" applyFill="1" applyBorder="1" applyAlignment="1" applyProtection="1">
      <alignment horizontal="right" vertical="center"/>
      <protection locked="0"/>
    </xf>
    <xf numFmtId="3" fontId="27" fillId="0" borderId="408" xfId="8" applyNumberFormat="1" applyFont="1" applyFill="1" applyBorder="1" applyAlignment="1" applyProtection="1">
      <alignment horizontal="right" vertical="center"/>
      <protection locked="0"/>
    </xf>
    <xf numFmtId="3" fontId="27" fillId="0" borderId="409" xfId="8" applyNumberFormat="1" applyFont="1" applyFill="1" applyBorder="1" applyAlignment="1" applyProtection="1">
      <alignment horizontal="right" vertical="center"/>
      <protection locked="0"/>
    </xf>
    <xf numFmtId="49" fontId="27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3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409" xfId="8" applyNumberFormat="1" applyFont="1" applyFill="1" applyBorder="1" applyAlignment="1" applyProtection="1">
      <alignment horizontal="right" vertical="center"/>
      <protection locked="0"/>
    </xf>
    <xf numFmtId="3" fontId="16" fillId="2" borderId="7" xfId="8" applyNumberFormat="1" applyFont="1" applyFill="1" applyBorder="1" applyAlignment="1" applyProtection="1">
      <alignment horizontal="right" vertical="center"/>
      <protection locked="0"/>
    </xf>
    <xf numFmtId="49" fontId="16" fillId="18" borderId="416" xfId="8" applyNumberFormat="1" applyFont="1" applyFill="1" applyBorder="1" applyAlignment="1" applyProtection="1">
      <alignment horizontal="left" vertical="center" wrapText="1"/>
      <protection locked="0"/>
    </xf>
    <xf numFmtId="49" fontId="16" fillId="18" borderId="228" xfId="8" applyNumberFormat="1" applyFont="1" applyFill="1" applyBorder="1" applyAlignment="1" applyProtection="1">
      <alignment horizontal="center" vertical="center" wrapText="1"/>
      <protection locked="0"/>
    </xf>
    <xf numFmtId="49" fontId="16" fillId="18" borderId="7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17" xfId="1" applyNumberFormat="1" applyFont="1" applyFill="1" applyBorder="1" applyAlignment="1" applyProtection="1">
      <alignment horizontal="right" vertical="center"/>
      <protection locked="0"/>
    </xf>
    <xf numFmtId="2" fontId="23" fillId="0" borderId="8" xfId="8" applyNumberFormat="1" applyFont="1" applyFill="1" applyBorder="1" applyAlignment="1" applyProtection="1">
      <alignment horizontal="left" vertical="center" wrapText="1"/>
      <protection locked="0"/>
    </xf>
    <xf numFmtId="10" fontId="23" fillId="0" borderId="407" xfId="1" applyNumberFormat="1" applyFont="1" applyFill="1" applyBorder="1" applyAlignment="1" applyProtection="1">
      <alignment horizontal="right" vertical="center"/>
      <protection locked="0"/>
    </xf>
    <xf numFmtId="3" fontId="23" fillId="0" borderId="408" xfId="8" applyNumberFormat="1" applyFont="1" applyFill="1" applyBorder="1" applyAlignment="1" applyProtection="1">
      <alignment horizontal="right" vertical="center"/>
      <protection locked="0"/>
    </xf>
    <xf numFmtId="3" fontId="23" fillId="0" borderId="409" xfId="8" applyNumberFormat="1" applyFont="1" applyFill="1" applyBorder="1" applyAlignment="1" applyProtection="1">
      <alignment horizontal="right" vertical="center"/>
      <protection locked="0"/>
    </xf>
    <xf numFmtId="2" fontId="23" fillId="0" borderId="41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9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20" xfId="8" applyNumberFormat="1" applyFont="1" applyFill="1" applyBorder="1" applyAlignment="1" applyProtection="1">
      <alignment horizontal="right" vertical="center"/>
      <protection locked="0"/>
    </xf>
    <xf numFmtId="3" fontId="23" fillId="0" borderId="421" xfId="8" applyNumberFormat="1" applyFont="1" applyFill="1" applyBorder="1" applyAlignment="1" applyProtection="1">
      <alignment horizontal="right" vertical="center"/>
      <protection locked="0"/>
    </xf>
    <xf numFmtId="2" fontId="23" fillId="0" borderId="41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2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3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407" xfId="1" applyNumberFormat="1" applyFont="1" applyFill="1" applyBorder="1" applyAlignment="1" applyProtection="1">
      <alignment horizontal="right" vertical="center"/>
      <protection locked="0"/>
    </xf>
    <xf numFmtId="3" fontId="12" fillId="0" borderId="408" xfId="8" applyNumberFormat="1" applyFont="1" applyFill="1" applyBorder="1" applyAlignment="1" applyProtection="1">
      <alignment horizontal="right" vertical="center"/>
      <protection locked="0"/>
    </xf>
    <xf numFmtId="3" fontId="12" fillId="0" borderId="409" xfId="8" applyNumberFormat="1" applyFont="1" applyFill="1" applyBorder="1" applyAlignment="1" applyProtection="1">
      <alignment horizontal="right" vertical="center"/>
      <protection locked="0"/>
    </xf>
    <xf numFmtId="49" fontId="27" fillId="16" borderId="368" xfId="8" applyNumberFormat="1" applyFont="1" applyFill="1" applyBorder="1" applyAlignment="1" applyProtection="1">
      <alignment vertical="center" wrapText="1"/>
      <protection locked="0"/>
    </xf>
    <xf numFmtId="49" fontId="27" fillId="16" borderId="23" xfId="8" applyNumberFormat="1" applyFont="1" applyFill="1" applyBorder="1" applyAlignment="1" applyProtection="1">
      <alignment vertical="center" wrapText="1"/>
      <protection locked="0"/>
    </xf>
    <xf numFmtId="3" fontId="23" fillId="0" borderId="425" xfId="8" applyNumberFormat="1" applyFont="1" applyFill="1" applyBorder="1" applyAlignment="1" applyProtection="1">
      <alignment horizontal="right" vertical="center"/>
      <protection locked="0"/>
    </xf>
    <xf numFmtId="49" fontId="23" fillId="16" borderId="42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371" xfId="8" applyNumberFormat="1" applyFont="1" applyFill="1" applyBorder="1" applyAlignment="1" applyProtection="1">
      <alignment horizontal="left" vertical="center"/>
      <protection locked="0"/>
    </xf>
    <xf numFmtId="49" fontId="23" fillId="16" borderId="40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6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4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17" xfId="1" applyNumberFormat="1" applyFont="1" applyFill="1" applyBorder="1" applyAlignment="1" applyProtection="1">
      <alignment horizontal="right" vertical="center"/>
      <protection locked="0"/>
    </xf>
    <xf numFmtId="49" fontId="27" fillId="16" borderId="409" xfId="8" applyNumberFormat="1" applyFont="1" applyFill="1" applyBorder="1" applyAlignment="1" applyProtection="1">
      <alignment vertical="center" wrapText="1"/>
      <protection locked="0"/>
    </xf>
    <xf numFmtId="49" fontId="27" fillId="16" borderId="407" xfId="8" applyNumberFormat="1" applyFont="1" applyFill="1" applyBorder="1" applyAlignment="1" applyProtection="1">
      <alignment vertical="center" wrapText="1"/>
      <protection locked="0"/>
    </xf>
    <xf numFmtId="3" fontId="23" fillId="0" borderId="435" xfId="8" applyNumberFormat="1" applyFont="1" applyFill="1" applyBorder="1" applyAlignment="1" applyProtection="1">
      <alignment horizontal="right" vertical="center"/>
      <protection locked="0"/>
    </xf>
    <xf numFmtId="49" fontId="23" fillId="16" borderId="4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37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37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38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4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2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407" xfId="1" applyNumberFormat="1" applyFont="1" applyFill="1" applyBorder="1" applyAlignment="1" applyProtection="1">
      <alignment horizontal="right" vertical="center"/>
      <protection locked="0"/>
    </xf>
    <xf numFmtId="3" fontId="20" fillId="0" borderId="408" xfId="8" applyNumberFormat="1" applyFont="1" applyFill="1" applyBorder="1" applyAlignment="1" applyProtection="1">
      <alignment horizontal="right" vertical="center"/>
      <protection locked="0"/>
    </xf>
    <xf numFmtId="3" fontId="20" fillId="0" borderId="409" xfId="8" applyNumberFormat="1" applyFont="1" applyFill="1" applyBorder="1" applyAlignment="1" applyProtection="1">
      <alignment horizontal="right" vertical="center"/>
      <protection locked="0"/>
    </xf>
    <xf numFmtId="49" fontId="23" fillId="16" borderId="4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4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47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448" xfId="8" applyNumberFormat="1" applyFont="1" applyFill="1" applyBorder="1" applyAlignment="1" applyProtection="1">
      <alignment horizontal="right" vertical="center"/>
      <protection locked="0"/>
    </xf>
    <xf numFmtId="3" fontId="12" fillId="0" borderId="110" xfId="8" applyNumberFormat="1" applyFont="1" applyFill="1" applyBorder="1" applyAlignment="1" applyProtection="1">
      <alignment horizontal="right" vertical="center"/>
      <protection locked="0"/>
    </xf>
    <xf numFmtId="49" fontId="27" fillId="16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25" xfId="8" applyNumberFormat="1" applyFont="1" applyFill="1" applyBorder="1" applyAlignment="1" applyProtection="1">
      <alignment vertical="center" wrapText="1"/>
      <protection locked="0"/>
    </xf>
    <xf numFmtId="49" fontId="23" fillId="16" borderId="449" xfId="8" applyNumberFormat="1" applyFont="1" applyFill="1" applyBorder="1" applyAlignment="1" applyProtection="1">
      <alignment vertical="center" wrapText="1"/>
      <protection locked="0"/>
    </xf>
    <xf numFmtId="10" fontId="27" fillId="0" borderId="450" xfId="1" applyNumberFormat="1" applyFont="1" applyFill="1" applyBorder="1" applyAlignment="1" applyProtection="1">
      <alignment horizontal="right" vertical="center"/>
      <protection locked="0"/>
    </xf>
    <xf numFmtId="3" fontId="27" fillId="0" borderId="451" xfId="8" applyNumberFormat="1" applyFont="1" applyFill="1" applyBorder="1" applyAlignment="1" applyProtection="1">
      <alignment horizontal="right" vertical="center"/>
      <protection locked="0"/>
    </xf>
    <xf numFmtId="3" fontId="27" fillId="0" borderId="452" xfId="8" applyNumberFormat="1" applyFont="1" applyFill="1" applyBorder="1" applyAlignment="1" applyProtection="1">
      <alignment horizontal="right" vertical="center"/>
      <protection locked="0"/>
    </xf>
    <xf numFmtId="49" fontId="27" fillId="16" borderId="44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4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53" xfId="1" applyNumberFormat="1" applyFont="1" applyFill="1" applyBorder="1" applyAlignment="1" applyProtection="1">
      <alignment horizontal="right" vertical="center"/>
      <protection locked="0"/>
    </xf>
    <xf numFmtId="3" fontId="23" fillId="0" borderId="451" xfId="8" applyNumberFormat="1" applyFont="1" applyFill="1" applyBorder="1" applyAlignment="1" applyProtection="1">
      <alignment horizontal="right" vertical="center"/>
      <protection locked="0"/>
    </xf>
    <xf numFmtId="3" fontId="23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45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55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456" xfId="8" applyNumberFormat="1" applyFont="1" applyFill="1" applyBorder="1" applyAlignment="1" applyProtection="1">
      <alignment horizontal="right" vertical="center"/>
      <protection locked="0"/>
    </xf>
    <xf numFmtId="49" fontId="23" fillId="16" borderId="45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8" xfId="8" applyNumberFormat="1" applyFont="1" applyFill="1" applyBorder="1" applyAlignment="1" applyProtection="1">
      <alignment horizontal="left" vertical="center" wrapText="1"/>
      <protection locked="0"/>
    </xf>
    <xf numFmtId="3" fontId="20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45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63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456" xfId="8" applyNumberFormat="1" applyFont="1" applyFill="1" applyBorder="1" applyAlignment="1" applyProtection="1">
      <alignment horizontal="right" vertical="center"/>
      <protection locked="0"/>
    </xf>
    <xf numFmtId="3" fontId="23" fillId="16" borderId="464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4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6" xfId="8" applyNumberFormat="1" applyFont="1" applyFill="1" applyBorder="1" applyAlignment="1" applyProtection="1">
      <alignment horizontal="center" vertical="center" wrapText="1"/>
      <protection locked="0"/>
    </xf>
    <xf numFmtId="3" fontId="23" fillId="19" borderId="456" xfId="8" applyNumberFormat="1" applyFont="1" applyFill="1" applyBorder="1" applyAlignment="1" applyProtection="1">
      <alignment horizontal="right" vertical="center" wrapText="1"/>
      <protection locked="0"/>
    </xf>
    <xf numFmtId="3" fontId="23" fillId="0" borderId="336" xfId="8" applyNumberFormat="1" applyFont="1" applyFill="1" applyBorder="1" applyAlignment="1" applyProtection="1">
      <alignment horizontal="right" vertical="center"/>
      <protection locked="0"/>
    </xf>
    <xf numFmtId="49" fontId="23" fillId="16" borderId="368" xfId="8" applyNumberFormat="1" applyFont="1" applyFill="1" applyBorder="1" applyAlignment="1" applyProtection="1">
      <alignment vertical="center" wrapText="1"/>
      <protection locked="0"/>
    </xf>
    <xf numFmtId="49" fontId="23" fillId="16" borderId="378" xfId="8" applyNumberFormat="1" applyFont="1" applyFill="1" applyBorder="1" applyAlignment="1" applyProtection="1">
      <alignment vertical="center" wrapText="1"/>
      <protection locked="0"/>
    </xf>
    <xf numFmtId="49" fontId="23" fillId="16" borderId="46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0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453" xfId="1" applyNumberFormat="1" applyFont="1" applyFill="1" applyBorder="1" applyAlignment="1" applyProtection="1">
      <alignment horizontal="right" vertical="center"/>
      <protection locked="0"/>
    </xf>
    <xf numFmtId="3" fontId="20" fillId="0" borderId="471" xfId="8" applyNumberFormat="1" applyFont="1" applyFill="1" applyBorder="1" applyAlignment="1" applyProtection="1">
      <alignment horizontal="right" vertical="center"/>
      <protection locked="0"/>
    </xf>
    <xf numFmtId="49" fontId="23" fillId="16" borderId="456" xfId="8" applyNumberFormat="1" applyFont="1" applyFill="1" applyBorder="1" applyAlignment="1" applyProtection="1">
      <alignment vertical="center" wrapText="1"/>
      <protection locked="0"/>
    </xf>
    <xf numFmtId="49" fontId="23" fillId="16" borderId="424" xfId="8" applyNumberFormat="1" applyFont="1" applyFill="1" applyBorder="1" applyAlignment="1" applyProtection="1">
      <alignment vertical="center" wrapText="1"/>
      <protection locked="0"/>
    </xf>
    <xf numFmtId="3" fontId="20" fillId="0" borderId="451" xfId="8" applyNumberFormat="1" applyFont="1" applyFill="1" applyBorder="1" applyAlignment="1" applyProtection="1">
      <alignment horizontal="right" vertical="center"/>
      <protection locked="0"/>
    </xf>
    <xf numFmtId="3" fontId="19" fillId="12" borderId="11" xfId="8" applyNumberFormat="1" applyFont="1" applyFill="1" applyBorder="1" applyAlignment="1" applyProtection="1">
      <alignment horizontal="right" vertical="center"/>
      <protection locked="0"/>
    </xf>
    <xf numFmtId="49" fontId="27" fillId="16" borderId="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53" xfId="1" applyNumberFormat="1" applyFont="1" applyFill="1" applyBorder="1" applyAlignment="1" applyProtection="1">
      <alignment horizontal="right" vertical="center"/>
      <protection locked="0"/>
    </xf>
    <xf numFmtId="49" fontId="27" fillId="16" borderId="37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72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452" xfId="8" applyNumberFormat="1" applyFont="1" applyFill="1" applyBorder="1" applyAlignment="1" applyProtection="1">
      <alignment horizontal="right" vertical="center"/>
      <protection locked="0"/>
    </xf>
    <xf numFmtId="49" fontId="27" fillId="16" borderId="45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7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3" xfId="8" applyNumberFormat="1" applyFont="1" applyFill="1" applyBorder="1" applyAlignment="1" applyProtection="1">
      <alignment horizontal="left" vertical="center" wrapText="1"/>
      <protection locked="0"/>
    </xf>
    <xf numFmtId="10" fontId="12" fillId="0" borderId="453" xfId="1" applyNumberFormat="1" applyFont="1" applyFill="1" applyBorder="1" applyAlignment="1" applyProtection="1">
      <alignment horizontal="right" vertical="center"/>
      <protection locked="0"/>
    </xf>
    <xf numFmtId="3" fontId="12" fillId="0" borderId="474" xfId="8" applyNumberFormat="1" applyFont="1" applyFill="1" applyBorder="1" applyAlignment="1" applyProtection="1">
      <alignment horizontal="right" vertical="center"/>
      <protection locked="0"/>
    </xf>
    <xf numFmtId="3" fontId="12" fillId="0" borderId="382" xfId="8" applyNumberFormat="1" applyFont="1" applyFill="1" applyBorder="1" applyAlignment="1" applyProtection="1">
      <alignment horizontal="right" vertical="center"/>
      <protection locked="0"/>
    </xf>
    <xf numFmtId="49" fontId="23" fillId="16" borderId="452" xfId="8" applyNumberFormat="1" applyFont="1" applyFill="1" applyBorder="1" applyAlignment="1" applyProtection="1">
      <alignment vertical="center" wrapText="1"/>
      <protection locked="0"/>
    </xf>
    <xf numFmtId="49" fontId="23" fillId="16" borderId="367" xfId="8" applyNumberFormat="1" applyFont="1" applyFill="1" applyBorder="1" applyAlignment="1" applyProtection="1">
      <alignment vertical="center" wrapText="1"/>
      <protection locked="0"/>
    </xf>
    <xf numFmtId="49" fontId="23" fillId="16" borderId="47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7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477" xfId="1" applyNumberFormat="1" applyFont="1" applyFill="1" applyBorder="1" applyAlignment="1" applyProtection="1">
      <alignment horizontal="right" vertical="center"/>
      <protection locked="0"/>
    </xf>
    <xf numFmtId="3" fontId="23" fillId="0" borderId="478" xfId="8" applyNumberFormat="1" applyFont="1" applyFill="1" applyBorder="1" applyAlignment="1" applyProtection="1">
      <alignment horizontal="right" vertical="center"/>
      <protection locked="0"/>
    </xf>
    <xf numFmtId="3" fontId="23" fillId="0" borderId="479" xfId="8" applyNumberFormat="1" applyFont="1" applyFill="1" applyBorder="1" applyAlignment="1" applyProtection="1">
      <alignment horizontal="right" vertical="center"/>
      <protection locked="0"/>
    </xf>
    <xf numFmtId="49" fontId="23" fillId="16" borderId="48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77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478" xfId="9" applyNumberFormat="1" applyFont="1" applyBorder="1" applyAlignment="1">
      <alignment horizontal="right" vertical="center"/>
    </xf>
    <xf numFmtId="49" fontId="23" fillId="16" borderId="4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8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9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9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93" xfId="8" applyNumberFormat="1" applyFont="1" applyFill="1" applyBorder="1" applyAlignment="1" applyProtection="1">
      <alignment horizontal="center" vertical="center" wrapText="1"/>
      <protection locked="0"/>
    </xf>
    <xf numFmtId="0" fontId="23" fillId="16" borderId="49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9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495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477" xfId="1" applyNumberFormat="1" applyFont="1" applyFill="1" applyBorder="1" applyAlignment="1" applyProtection="1">
      <alignment horizontal="right" vertical="center"/>
      <protection locked="0"/>
    </xf>
    <xf numFmtId="3" fontId="27" fillId="0" borderId="452" xfId="8" applyNumberFormat="1" applyFont="1" applyFill="1" applyBorder="1" applyAlignment="1" applyProtection="1">
      <alignment vertical="center"/>
      <protection locked="0"/>
    </xf>
    <xf numFmtId="49" fontId="27" fillId="16" borderId="49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52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52" xfId="8" applyNumberFormat="1" applyFont="1" applyFill="1" applyBorder="1" applyAlignment="1" applyProtection="1">
      <alignment vertical="center"/>
      <protection locked="0"/>
    </xf>
    <xf numFmtId="49" fontId="23" fillId="16" borderId="497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98" xfId="8" applyNumberFormat="1" applyFont="1" applyFill="1" applyBorder="1" applyAlignment="1" applyProtection="1">
      <alignment vertical="center"/>
      <protection locked="0"/>
    </xf>
    <xf numFmtId="3" fontId="23" fillId="0" borderId="499" xfId="8" applyNumberFormat="1" applyFont="1" applyFill="1" applyBorder="1" applyAlignment="1" applyProtection="1">
      <alignment vertical="center"/>
      <protection locked="0"/>
    </xf>
    <xf numFmtId="49" fontId="23" fillId="16" borderId="28" xfId="8" applyNumberFormat="1" applyFont="1" applyFill="1" applyBorder="1" applyAlignment="1" applyProtection="1">
      <alignment vertical="center" wrapText="1"/>
      <protection locked="0"/>
    </xf>
    <xf numFmtId="49" fontId="23" fillId="16" borderId="0" xfId="8" applyNumberFormat="1" applyFont="1" applyFill="1" applyBorder="1" applyAlignment="1" applyProtection="1">
      <alignment vertical="center" wrapText="1"/>
      <protection locked="0"/>
    </xf>
    <xf numFmtId="49" fontId="23" fillId="16" borderId="50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02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370" xfId="1" applyNumberFormat="1" applyFont="1" applyFill="1" applyBorder="1" applyAlignment="1" applyProtection="1">
      <alignment horizontal="right" vertical="center"/>
      <protection locked="0"/>
    </xf>
    <xf numFmtId="3" fontId="20" fillId="0" borderId="368" xfId="8" applyNumberFormat="1" applyFont="1" applyFill="1" applyBorder="1" applyAlignment="1" applyProtection="1">
      <alignment horizontal="right" vertical="center"/>
      <protection locked="0"/>
    </xf>
    <xf numFmtId="49" fontId="23" fillId="16" borderId="365" xfId="8" applyNumberFormat="1" applyFont="1" applyFill="1" applyBorder="1" applyAlignment="1" applyProtection="1">
      <alignment vertical="center" wrapText="1"/>
      <protection locked="0"/>
    </xf>
    <xf numFmtId="49" fontId="23" fillId="16" borderId="50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05" xfId="8" applyNumberFormat="1" applyFont="1" applyFill="1" applyBorder="1" applyAlignment="1" applyProtection="1">
      <alignment horizontal="left" vertical="center" wrapText="1"/>
      <protection locked="0"/>
    </xf>
    <xf numFmtId="10" fontId="20" fillId="0" borderId="477" xfId="1" applyNumberFormat="1" applyFont="1" applyFill="1" applyBorder="1" applyAlignment="1" applyProtection="1">
      <alignment horizontal="right" vertical="center"/>
      <protection locked="0"/>
    </xf>
    <xf numFmtId="10" fontId="23" fillId="0" borderId="507" xfId="1" applyNumberFormat="1" applyFont="1" applyFill="1" applyBorder="1" applyAlignment="1" applyProtection="1">
      <alignment horizontal="right" vertical="center"/>
      <protection locked="0"/>
    </xf>
    <xf numFmtId="49" fontId="23" fillId="16" borderId="3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08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477" xfId="1" applyNumberFormat="1" applyFont="1" applyFill="1" applyBorder="1" applyAlignment="1" applyProtection="1">
      <alignment horizontal="right" vertical="center"/>
      <protection locked="0"/>
    </xf>
    <xf numFmtId="3" fontId="12" fillId="0" borderId="451" xfId="8" applyNumberFormat="1" applyFont="1" applyFill="1" applyBorder="1" applyAlignment="1" applyProtection="1">
      <alignment horizontal="right" vertical="center"/>
      <protection locked="0"/>
    </xf>
    <xf numFmtId="3" fontId="12" fillId="0" borderId="452" xfId="8" applyNumberFormat="1" applyFont="1" applyFill="1" applyBorder="1" applyAlignment="1" applyProtection="1">
      <alignment horizontal="right" vertical="center"/>
      <protection locked="0"/>
    </xf>
    <xf numFmtId="3" fontId="23" fillId="16" borderId="45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4" xfId="8" applyNumberFormat="1" applyFont="1" applyFill="1" applyBorder="1" applyAlignment="1" applyProtection="1">
      <alignment horizontal="center" vertical="center" wrapText="1"/>
      <protection locked="0"/>
    </xf>
    <xf numFmtId="3" fontId="23" fillId="16" borderId="509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510" xfId="8" applyNumberFormat="1" applyFont="1" applyFill="1" applyBorder="1" applyAlignment="1" applyProtection="1">
      <alignment horizontal="left" vertical="center" wrapText="1"/>
      <protection locked="0"/>
    </xf>
    <xf numFmtId="3" fontId="23" fillId="16" borderId="474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382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511" xfId="8" applyNumberFormat="1" applyFont="1" applyFill="1" applyBorder="1" applyAlignment="1" applyProtection="1">
      <alignment vertical="center" wrapText="1"/>
      <protection locked="0"/>
    </xf>
    <xf numFmtId="49" fontId="23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3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9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7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13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514" xfId="8" applyNumberFormat="1" applyFont="1" applyFill="1" applyBorder="1" applyAlignment="1" applyProtection="1">
      <alignment horizontal="right" vertical="center"/>
      <protection locked="0"/>
    </xf>
    <xf numFmtId="0" fontId="23" fillId="0" borderId="452" xfId="8" applyNumberFormat="1" applyFont="1" applyFill="1" applyBorder="1" applyAlignment="1" applyProtection="1">
      <alignment vertical="center"/>
      <protection locked="0"/>
    </xf>
    <xf numFmtId="0" fontId="23" fillId="0" borderId="511" xfId="8" applyNumberFormat="1" applyFont="1" applyFill="1" applyBorder="1" applyAlignment="1" applyProtection="1">
      <alignment vertical="center"/>
      <protection locked="0"/>
    </xf>
    <xf numFmtId="3" fontId="23" fillId="0" borderId="515" xfId="8" applyNumberFormat="1" applyFont="1" applyFill="1" applyBorder="1" applyAlignment="1" applyProtection="1">
      <alignment horizontal="right" vertical="center"/>
      <protection locked="0"/>
    </xf>
    <xf numFmtId="49" fontId="23" fillId="16" borderId="51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17" xfId="8" applyNumberFormat="1" applyFont="1" applyFill="1" applyBorder="1" applyAlignment="1" applyProtection="1">
      <alignment horizontal="left" vertical="center" wrapText="1"/>
      <protection locked="0"/>
    </xf>
    <xf numFmtId="3" fontId="19" fillId="12" borderId="1" xfId="8" applyNumberFormat="1" applyFont="1" applyFill="1" applyBorder="1" applyAlignment="1" applyProtection="1">
      <alignment horizontal="right" vertical="center"/>
      <protection locked="0"/>
    </xf>
    <xf numFmtId="0" fontId="109" fillId="0" borderId="6" xfId="0" applyFont="1" applyBorder="1" applyAlignment="1">
      <alignment vertical="center" wrapText="1"/>
    </xf>
    <xf numFmtId="0" fontId="109" fillId="0" borderId="12" xfId="0" applyFont="1" applyBorder="1" applyAlignment="1">
      <alignment vertical="center" wrapText="1"/>
    </xf>
    <xf numFmtId="0" fontId="109" fillId="0" borderId="368" xfId="0" applyFont="1" applyBorder="1" applyAlignment="1">
      <alignment vertical="center"/>
    </xf>
    <xf numFmtId="0" fontId="109" fillId="0" borderId="365" xfId="0" applyFont="1" applyBorder="1" applyAlignment="1">
      <alignment vertical="center"/>
    </xf>
    <xf numFmtId="49" fontId="23" fillId="16" borderId="514" xfId="8" applyNumberFormat="1" applyFont="1" applyFill="1" applyBorder="1" applyAlignment="1" applyProtection="1">
      <alignment vertical="center" wrapText="1"/>
      <protection locked="0"/>
    </xf>
    <xf numFmtId="10" fontId="12" fillId="0" borderId="518" xfId="1" applyNumberFormat="1" applyFont="1" applyFill="1" applyBorder="1" applyAlignment="1" applyProtection="1">
      <alignment horizontal="right" vertical="center"/>
      <protection locked="0"/>
    </xf>
    <xf numFmtId="3" fontId="12" fillId="0" borderId="514" xfId="8" applyNumberFormat="1" applyFont="1" applyFill="1" applyBorder="1" applyAlignment="1" applyProtection="1">
      <alignment horizontal="right" vertical="center"/>
      <protection locked="0"/>
    </xf>
    <xf numFmtId="10" fontId="27" fillId="0" borderId="507" xfId="1" applyNumberFormat="1" applyFont="1" applyFill="1" applyBorder="1" applyAlignment="1" applyProtection="1">
      <alignment horizontal="right" vertical="center"/>
      <protection locked="0"/>
    </xf>
    <xf numFmtId="3" fontId="27" fillId="0" borderId="425" xfId="8" applyNumberFormat="1" applyFont="1" applyFill="1" applyBorder="1" applyAlignment="1" applyProtection="1">
      <alignment horizontal="right" vertical="center"/>
      <protection locked="0"/>
    </xf>
    <xf numFmtId="49" fontId="27" fillId="16" borderId="50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02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515" xfId="8" applyNumberFormat="1" applyFont="1" applyFill="1" applyBorder="1" applyAlignment="1" applyProtection="1">
      <alignment horizontal="right" vertical="center"/>
      <protection locked="0"/>
    </xf>
    <xf numFmtId="49" fontId="27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9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514" xfId="8" applyNumberFormat="1" applyFont="1" applyFill="1" applyBorder="1" applyAlignment="1" applyProtection="1">
      <alignment horizontal="right" vertical="center"/>
      <protection locked="0"/>
    </xf>
    <xf numFmtId="49" fontId="27" fillId="16" borderId="514" xfId="8" applyNumberFormat="1" applyFont="1" applyFill="1" applyBorder="1" applyAlignment="1" applyProtection="1">
      <alignment vertical="center" wrapText="1"/>
      <protection locked="0"/>
    </xf>
    <xf numFmtId="49" fontId="27" fillId="16" borderId="365" xfId="8" applyNumberFormat="1" applyFont="1" applyFill="1" applyBorder="1" applyAlignment="1" applyProtection="1">
      <alignment vertical="center" wrapText="1"/>
      <protection locked="0"/>
    </xf>
    <xf numFmtId="3" fontId="16" fillId="0" borderId="514" xfId="8" applyNumberFormat="1" applyFont="1" applyFill="1" applyBorder="1" applyAlignment="1" applyProtection="1">
      <alignment horizontal="right" vertical="center"/>
      <protection locked="0"/>
    </xf>
    <xf numFmtId="3" fontId="23" fillId="0" borderId="425" xfId="8" applyNumberFormat="1" applyFont="1" applyFill="1" applyBorder="1" applyAlignment="1" applyProtection="1">
      <alignment vertical="center"/>
      <protection locked="0"/>
    </xf>
    <xf numFmtId="2" fontId="23" fillId="0" borderId="520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12" xfId="8" applyNumberFormat="1" applyFont="1" applyFill="1" applyBorder="1" applyAlignment="1" applyProtection="1">
      <alignment vertical="center"/>
      <protection locked="0"/>
    </xf>
    <xf numFmtId="3" fontId="23" fillId="0" borderId="28" xfId="8" applyNumberFormat="1" applyFont="1" applyFill="1" applyBorder="1" applyAlignment="1" applyProtection="1">
      <alignment vertical="center"/>
      <protection locked="0"/>
    </xf>
    <xf numFmtId="3" fontId="27" fillId="0" borderId="515" xfId="8" applyNumberFormat="1" applyFont="1" applyFill="1" applyBorder="1" applyAlignment="1" applyProtection="1">
      <alignment vertical="center"/>
      <protection locked="0"/>
    </xf>
    <xf numFmtId="49" fontId="27" fillId="16" borderId="51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6" xfId="8" applyNumberFormat="1" applyFont="1" applyFill="1" applyBorder="1" applyAlignment="1" applyProtection="1">
      <alignment horizontal="center" vertical="center" wrapText="1"/>
      <protection locked="0"/>
    </xf>
    <xf numFmtId="3" fontId="16" fillId="0" borderId="452" xfId="8" applyNumberFormat="1" applyFont="1" applyFill="1" applyBorder="1" applyAlignment="1" applyProtection="1">
      <alignment vertical="center"/>
      <protection locked="0"/>
    </xf>
    <xf numFmtId="49" fontId="27" fillId="16" borderId="36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425" xfId="8" applyNumberFormat="1" applyFont="1" applyFill="1" applyBorder="1" applyAlignment="1" applyProtection="1">
      <alignment horizontal="right" vertical="center"/>
      <protection locked="0"/>
    </xf>
    <xf numFmtId="49" fontId="23" fillId="16" borderId="521" xfId="8" applyNumberFormat="1" applyFont="1" applyFill="1" applyBorder="1" applyAlignment="1" applyProtection="1">
      <alignment horizontal="left" vertical="center" wrapText="1"/>
      <protection locked="0"/>
    </xf>
    <xf numFmtId="3" fontId="23" fillId="6" borderId="522" xfId="8" applyNumberFormat="1" applyFont="1" applyFill="1" applyBorder="1" applyAlignment="1" applyProtection="1">
      <alignment horizontal="right" vertical="center"/>
      <protection locked="0"/>
    </xf>
    <xf numFmtId="3" fontId="23" fillId="6" borderId="515" xfId="8" applyNumberFormat="1" applyFont="1" applyFill="1" applyBorder="1" applyAlignment="1" applyProtection="1">
      <alignment horizontal="right" vertical="center"/>
      <protection locked="0"/>
    </xf>
    <xf numFmtId="3" fontId="12" fillId="6" borderId="14" xfId="8" applyNumberFormat="1" applyFont="1" applyFill="1" applyBorder="1" applyAlignment="1" applyProtection="1">
      <alignment horizontal="right" vertical="center"/>
      <protection locked="0"/>
    </xf>
    <xf numFmtId="3" fontId="12" fillId="6" borderId="514" xfId="8" applyNumberFormat="1" applyFont="1" applyFill="1" applyBorder="1" applyAlignment="1" applyProtection="1">
      <alignment horizontal="right" vertical="center"/>
      <protection locked="0"/>
    </xf>
    <xf numFmtId="3" fontId="19" fillId="0" borderId="452" xfId="8" applyNumberFormat="1" applyFont="1" applyFill="1" applyBorder="1" applyAlignment="1" applyProtection="1">
      <alignment horizontal="right" vertical="center"/>
      <protection locked="0"/>
    </xf>
    <xf numFmtId="49" fontId="23" fillId="16" borderId="523" xfId="8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8" applyNumberFormat="1" applyFont="1" applyFill="1" applyBorder="1" applyAlignment="1" applyProtection="1">
      <alignment horizontal="right" vertical="center"/>
      <protection locked="0"/>
    </xf>
    <xf numFmtId="3" fontId="19" fillId="0" borderId="368" xfId="8" applyNumberFormat="1" applyFont="1" applyFill="1" applyBorder="1" applyAlignment="1" applyProtection="1">
      <alignment horizontal="right" vertical="center"/>
      <protection locked="0"/>
    </xf>
    <xf numFmtId="49" fontId="19" fillId="17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4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76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7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" xfId="8" applyNumberFormat="1" applyFont="1" applyFill="1" applyBorder="1" applyAlignment="1" applyProtection="1">
      <alignment vertical="center" wrapText="1"/>
      <protection locked="0"/>
    </xf>
    <xf numFmtId="3" fontId="23" fillId="0" borderId="522" xfId="8" applyNumberFormat="1" applyFont="1" applyFill="1" applyBorder="1" applyAlignment="1" applyProtection="1">
      <alignment horizontal="right" vertical="center"/>
      <protection locked="0"/>
    </xf>
    <xf numFmtId="0" fontId="109" fillId="0" borderId="452" xfId="0" applyFont="1" applyBorder="1" applyAlignment="1">
      <alignment vertical="center" wrapText="1"/>
    </xf>
    <xf numFmtId="0" fontId="109" fillId="0" borderId="477" xfId="0" applyFont="1" applyBorder="1" applyAlignment="1">
      <alignment vertical="center" wrapText="1"/>
    </xf>
    <xf numFmtId="49" fontId="23" fillId="0" borderId="452" xfId="8" applyNumberFormat="1" applyFont="1" applyFill="1" applyBorder="1" applyAlignment="1" applyProtection="1">
      <alignment vertical="center" wrapText="1"/>
      <protection locked="0"/>
    </xf>
    <xf numFmtId="49" fontId="19" fillId="17" borderId="326" xfId="8" applyNumberFormat="1" applyFont="1" applyFill="1" applyBorder="1" applyAlignment="1" applyProtection="1">
      <alignment horizontal="left" vertical="center" wrapText="1"/>
      <protection locked="0"/>
    </xf>
    <xf numFmtId="49" fontId="12" fillId="18" borderId="327" xfId="8" applyNumberFormat="1" applyFont="1" applyFill="1" applyBorder="1" applyAlignment="1" applyProtection="1">
      <alignment horizontal="left" vertical="center" wrapText="1"/>
      <protection locked="0"/>
    </xf>
    <xf numFmtId="10" fontId="6" fillId="0" borderId="417" xfId="1" applyNumberFormat="1" applyFont="1" applyFill="1" applyBorder="1" applyAlignment="1" applyProtection="1">
      <alignment horizontal="right" vertical="center"/>
      <protection locked="0"/>
    </xf>
    <xf numFmtId="3" fontId="6" fillId="0" borderId="425" xfId="8" applyNumberFormat="1" applyFont="1" applyFill="1" applyBorder="1" applyAlignment="1" applyProtection="1">
      <alignment horizontal="right" vertical="center"/>
      <protection locked="0"/>
    </xf>
    <xf numFmtId="49" fontId="6" fillId="16" borderId="51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13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477" xfId="1" applyNumberFormat="1" applyFont="1" applyFill="1" applyBorder="1" applyAlignment="1" applyProtection="1">
      <alignment horizontal="right" vertical="center"/>
      <protection locked="0"/>
    </xf>
    <xf numFmtId="3" fontId="6" fillId="0" borderId="522" xfId="8" applyNumberFormat="1" applyFont="1" applyFill="1" applyBorder="1" applyAlignment="1" applyProtection="1">
      <alignment horizontal="right" vertical="center"/>
      <protection locked="0"/>
    </xf>
    <xf numFmtId="3" fontId="6" fillId="0" borderId="515" xfId="8" applyNumberFormat="1" applyFont="1" applyFill="1" applyBorder="1" applyAlignment="1" applyProtection="1">
      <alignment horizontal="right" vertical="center"/>
      <protection locked="0"/>
    </xf>
    <xf numFmtId="3" fontId="11" fillId="0" borderId="12" xfId="8" applyNumberFormat="1" applyFont="1" applyFill="1" applyBorder="1" applyAlignment="1" applyProtection="1">
      <alignment horizontal="right" vertical="center"/>
      <protection locked="0"/>
    </xf>
    <xf numFmtId="3" fontId="11" fillId="0" borderId="28" xfId="8" applyNumberFormat="1" applyFont="1" applyFill="1" applyBorder="1" applyAlignment="1" applyProtection="1">
      <alignment horizontal="right" vertical="center"/>
      <protection locked="0"/>
    </xf>
    <xf numFmtId="49" fontId="6" fillId="16" borderId="51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52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0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8" applyNumberFormat="1" applyFont="1" applyFill="1" applyBorder="1" applyAlignment="1" applyProtection="1">
      <alignment vertical="center" wrapText="1"/>
      <protection locked="0"/>
    </xf>
    <xf numFmtId="3" fontId="6" fillId="0" borderId="451" xfId="8" applyNumberFormat="1" applyFont="1" applyFill="1" applyBorder="1" applyAlignment="1" applyProtection="1">
      <alignment horizontal="right" vertical="center"/>
      <protection locked="0"/>
    </xf>
    <xf numFmtId="3" fontId="6" fillId="0" borderId="452" xfId="8" applyNumberFormat="1" applyFont="1" applyFill="1" applyBorder="1" applyAlignment="1" applyProtection="1">
      <alignment horizontal="right" vertical="center"/>
      <protection locked="0"/>
    </xf>
    <xf numFmtId="49" fontId="6" fillId="0" borderId="52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5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8" applyNumberFormat="1" applyFont="1" applyFill="1" applyBorder="1" applyAlignment="1" applyProtection="1">
      <alignment vertical="center" wrapText="1"/>
      <protection locked="0"/>
    </xf>
    <xf numFmtId="10" fontId="6" fillId="0" borderId="526" xfId="1" applyNumberFormat="1" applyFont="1" applyFill="1" applyBorder="1" applyAlignment="1" applyProtection="1">
      <alignment horizontal="right" vertical="center"/>
      <protection locked="0"/>
    </xf>
    <xf numFmtId="3" fontId="6" fillId="0" borderId="527" xfId="8" applyNumberFormat="1" applyFont="1" applyFill="1" applyBorder="1" applyAlignment="1" applyProtection="1">
      <alignment horizontal="right" vertical="center"/>
      <protection locked="0"/>
    </xf>
    <xf numFmtId="49" fontId="6" fillId="16" borderId="528" xfId="8" applyNumberFormat="1" applyFont="1" applyFill="1" applyBorder="1" applyAlignment="1" applyProtection="1">
      <alignment horizontal="left" vertical="center" wrapText="1"/>
      <protection locked="0"/>
    </xf>
    <xf numFmtId="3" fontId="6" fillId="0" borderId="529" xfId="8" applyNumberFormat="1" applyFont="1" applyFill="1" applyBorder="1" applyAlignment="1" applyProtection="1">
      <alignment horizontal="right" vertical="center"/>
      <protection locked="0"/>
    </xf>
    <xf numFmtId="49" fontId="6" fillId="0" borderId="52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3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3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32" xfId="1" applyNumberFormat="1" applyFont="1" applyFill="1" applyBorder="1" applyAlignment="1" applyProtection="1">
      <alignment horizontal="right" vertical="center"/>
      <protection locked="0"/>
    </xf>
    <xf numFmtId="3" fontId="6" fillId="0" borderId="533" xfId="8" applyNumberFormat="1" applyFont="1" applyFill="1" applyBorder="1" applyAlignment="1" applyProtection="1">
      <alignment horizontal="right" vertical="center"/>
      <protection locked="0"/>
    </xf>
    <xf numFmtId="49" fontId="6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3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37" xfId="1" applyNumberFormat="1" applyFont="1" applyFill="1" applyBorder="1" applyAlignment="1" applyProtection="1">
      <alignment horizontal="right" vertical="center"/>
      <protection locked="0"/>
    </xf>
    <xf numFmtId="3" fontId="6" fillId="0" borderId="538" xfId="8" applyNumberFormat="1" applyFont="1" applyFill="1" applyBorder="1" applyAlignment="1" applyProtection="1">
      <alignment horizontal="right" vertical="center"/>
      <protection locked="0"/>
    </xf>
    <xf numFmtId="49" fontId="6" fillId="0" borderId="53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0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41" xfId="1" applyNumberFormat="1" applyFont="1" applyFill="1" applyBorder="1" applyAlignment="1" applyProtection="1">
      <alignment horizontal="right" vertical="center"/>
      <protection locked="0"/>
    </xf>
    <xf numFmtId="3" fontId="6" fillId="0" borderId="542" xfId="8" applyNumberFormat="1" applyFont="1" applyFill="1" applyBorder="1" applyAlignment="1" applyProtection="1">
      <alignment horizontal="right" vertical="center"/>
      <protection locked="0"/>
    </xf>
    <xf numFmtId="49" fontId="6" fillId="16" borderId="543" xfId="8" applyNumberFormat="1" applyFont="1" applyFill="1" applyBorder="1" applyAlignment="1" applyProtection="1">
      <alignment horizontal="left" vertical="center" wrapText="1"/>
      <protection locked="0"/>
    </xf>
    <xf numFmtId="3" fontId="6" fillId="0" borderId="544" xfId="8" applyNumberFormat="1" applyFont="1" applyFill="1" applyBorder="1" applyAlignment="1" applyProtection="1">
      <alignment horizontal="right" vertical="center"/>
      <protection locked="0"/>
    </xf>
    <xf numFmtId="49" fontId="6" fillId="0" borderId="540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541" xfId="1" applyNumberFormat="1" applyFont="1" applyFill="1" applyBorder="1" applyAlignment="1" applyProtection="1">
      <alignment horizontal="right" vertical="center"/>
      <protection locked="0"/>
    </xf>
    <xf numFmtId="3" fontId="33" fillId="0" borderId="544" xfId="8" applyNumberFormat="1" applyFont="1" applyFill="1" applyBorder="1" applyAlignment="1" applyProtection="1">
      <alignment horizontal="right" vertical="center"/>
      <protection locked="0"/>
    </xf>
    <xf numFmtId="49" fontId="6" fillId="0" borderId="4" xfId="8" applyNumberFormat="1" applyFont="1" applyFill="1" applyBorder="1" applyAlignment="1" applyProtection="1">
      <alignment vertical="center" wrapText="1"/>
      <protection locked="0"/>
    </xf>
    <xf numFmtId="49" fontId="31" fillId="17" borderId="185" xfId="8" applyNumberFormat="1" applyFont="1" applyFill="1" applyBorder="1" applyAlignment="1" applyProtection="1">
      <alignment horizontal="left" vertical="center" wrapText="1"/>
      <protection locked="0"/>
    </xf>
    <xf numFmtId="49" fontId="31" fillId="17" borderId="18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395" xfId="1" applyNumberFormat="1" applyFont="1" applyFill="1" applyBorder="1" applyAlignment="1" applyProtection="1">
      <alignment horizontal="right" vertical="center"/>
      <protection locked="0"/>
    </xf>
    <xf numFmtId="3" fontId="27" fillId="0" borderId="542" xfId="8" applyNumberFormat="1" applyFont="1" applyFill="1" applyBorder="1" applyAlignment="1" applyProtection="1">
      <alignment horizontal="right" vertical="center"/>
      <protection locked="0"/>
    </xf>
    <xf numFmtId="49" fontId="27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4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37" xfId="1" applyNumberFormat="1" applyFont="1" applyFill="1" applyBorder="1" applyAlignment="1" applyProtection="1">
      <alignment horizontal="right" vertical="center"/>
      <protection locked="0"/>
    </xf>
    <xf numFmtId="3" fontId="27" fillId="0" borderId="533" xfId="8" applyNumberFormat="1" applyFont="1" applyFill="1" applyBorder="1" applyAlignment="1" applyProtection="1">
      <alignment horizontal="right" vertical="center"/>
      <protection locked="0"/>
    </xf>
    <xf numFmtId="10" fontId="27" fillId="0" borderId="541" xfId="1" applyNumberFormat="1" applyFont="1" applyFill="1" applyBorder="1" applyAlignment="1" applyProtection="1">
      <alignment horizontal="right" vertical="center"/>
      <protection locked="0"/>
    </xf>
    <xf numFmtId="3" fontId="6" fillId="0" borderId="548" xfId="8" applyNumberFormat="1" applyFont="1" applyFill="1" applyBorder="1" applyAlignment="1" applyProtection="1">
      <alignment horizontal="right" vertical="center"/>
      <protection locked="0"/>
    </xf>
    <xf numFmtId="49" fontId="6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6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451" xfId="8" applyNumberFormat="1" applyFont="1" applyFill="1" applyBorder="1" applyAlignment="1" applyProtection="1">
      <alignment horizontal="right" vertical="center"/>
      <protection locked="0"/>
    </xf>
    <xf numFmtId="3" fontId="11" fillId="0" borderId="533" xfId="8" applyNumberFormat="1" applyFont="1" applyFill="1" applyBorder="1" applyAlignment="1" applyProtection="1">
      <alignment horizontal="right" vertical="center"/>
      <protection locked="0"/>
    </xf>
    <xf numFmtId="49" fontId="23" fillId="16" borderId="54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46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537" xfId="1" applyNumberFormat="1" applyFont="1" applyFill="1" applyBorder="1" applyAlignment="1" applyProtection="1">
      <alignment horizontal="right" vertical="center"/>
      <protection locked="0"/>
    </xf>
    <xf numFmtId="3" fontId="23" fillId="0" borderId="533" xfId="8" applyNumberFormat="1" applyFont="1" applyFill="1" applyBorder="1" applyAlignment="1" applyProtection="1">
      <alignment horizontal="right" vertical="center"/>
      <protection locked="0"/>
    </xf>
    <xf numFmtId="10" fontId="12" fillId="0" borderId="537" xfId="1" applyNumberFormat="1" applyFont="1" applyFill="1" applyBorder="1" applyAlignment="1" applyProtection="1">
      <alignment horizontal="right" vertical="center"/>
      <protection locked="0"/>
    </xf>
    <xf numFmtId="3" fontId="12" fillId="0" borderId="533" xfId="8" applyNumberFormat="1" applyFont="1" applyFill="1" applyBorder="1" applyAlignment="1" applyProtection="1">
      <alignment horizontal="right" vertical="center"/>
      <protection locked="0"/>
    </xf>
    <xf numFmtId="3" fontId="23" fillId="0" borderId="549" xfId="8" applyNumberFormat="1" applyFont="1" applyFill="1" applyBorder="1" applyAlignment="1" applyProtection="1">
      <alignment horizontal="right" vertical="center"/>
      <protection locked="0"/>
    </xf>
    <xf numFmtId="49" fontId="23" fillId="16" borderId="55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53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542" xfId="8" applyNumberFormat="1" applyFont="1" applyFill="1" applyBorder="1" applyAlignment="1" applyProtection="1">
      <alignment horizontal="right" vertical="center"/>
      <protection locked="0"/>
    </xf>
    <xf numFmtId="10" fontId="6" fillId="0" borderId="395" xfId="1" applyNumberFormat="1" applyFont="1" applyFill="1" applyBorder="1" applyAlignment="1" applyProtection="1">
      <alignment horizontal="right" vertical="center"/>
      <protection locked="0"/>
    </xf>
    <xf numFmtId="49" fontId="6" fillId="16" borderId="55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55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541" xfId="1" applyNumberFormat="1" applyFont="1" applyFill="1" applyBorder="1" applyAlignment="1" applyProtection="1">
      <alignment horizontal="right" vertical="center"/>
      <protection locked="0"/>
    </xf>
    <xf numFmtId="10" fontId="11" fillId="0" borderId="537" xfId="1" applyNumberFormat="1" applyFont="1" applyFill="1" applyBorder="1" applyAlignment="1" applyProtection="1">
      <alignment horizontal="right" vertical="center"/>
      <protection locked="0"/>
    </xf>
    <xf numFmtId="49" fontId="6" fillId="16" borderId="55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57" xfId="8" applyNumberFormat="1" applyFont="1" applyFill="1" applyBorder="1" applyAlignment="1" applyProtection="1">
      <alignment horizontal="center" vertical="center" wrapText="1"/>
      <protection locked="0"/>
    </xf>
    <xf numFmtId="3" fontId="31" fillId="6" borderId="27" xfId="8" applyNumberFormat="1" applyFont="1" applyFill="1" applyBorder="1" applyAlignment="1" applyProtection="1">
      <alignment horizontal="right" vertical="center"/>
      <protection locked="0"/>
    </xf>
    <xf numFmtId="3" fontId="31" fillId="6" borderId="26" xfId="8" applyNumberFormat="1" applyFont="1" applyFill="1" applyBorder="1" applyAlignment="1" applyProtection="1">
      <alignment horizontal="right" vertical="center"/>
      <protection locked="0"/>
    </xf>
    <xf numFmtId="49" fontId="6" fillId="19" borderId="378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5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560" xfId="1" applyNumberFormat="1" applyFont="1" applyFill="1" applyBorder="1" applyAlignment="1" applyProtection="1">
      <alignment horizontal="right" vertical="center"/>
      <protection locked="0"/>
    </xf>
    <xf numFmtId="3" fontId="6" fillId="0" borderId="533" xfId="8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 wrapText="1"/>
    </xf>
    <xf numFmtId="49" fontId="23" fillId="16" borderId="556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451" xfId="8" applyNumberFormat="1" applyFont="1" applyFill="1" applyBorder="1" applyAlignment="1" applyProtection="1">
      <alignment vertical="center"/>
      <protection locked="0"/>
    </xf>
    <xf numFmtId="3" fontId="33" fillId="0" borderId="533" xfId="8" applyNumberFormat="1" applyFont="1" applyFill="1" applyBorder="1" applyAlignment="1" applyProtection="1">
      <alignment vertical="center"/>
      <protection locked="0"/>
    </xf>
    <xf numFmtId="3" fontId="6" fillId="0" borderId="451" xfId="8" applyNumberFormat="1" applyFont="1" applyFill="1" applyBorder="1" applyAlignment="1" applyProtection="1">
      <alignment vertical="center"/>
      <protection locked="0"/>
    </xf>
    <xf numFmtId="3" fontId="11" fillId="0" borderId="12" xfId="8" applyNumberFormat="1" applyFont="1" applyFill="1" applyBorder="1" applyAlignment="1" applyProtection="1">
      <alignment vertical="center"/>
      <protection locked="0"/>
    </xf>
    <xf numFmtId="3" fontId="11" fillId="0" borderId="28" xfId="8" applyNumberFormat="1" applyFont="1" applyFill="1" applyBorder="1" applyAlignment="1" applyProtection="1">
      <alignment vertical="center"/>
      <protection locked="0"/>
    </xf>
    <xf numFmtId="49" fontId="11" fillId="18" borderId="112" xfId="8" applyNumberFormat="1" applyFont="1" applyFill="1" applyBorder="1" applyAlignment="1" applyProtection="1">
      <alignment horizontal="left" vertical="center" wrapText="1"/>
      <protection locked="0"/>
    </xf>
    <xf numFmtId="49" fontId="11" fillId="18" borderId="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06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6" xfId="0" applyFont="1" applyBorder="1" applyAlignment="1">
      <alignment horizontal="center" vertical="center" wrapText="1"/>
    </xf>
    <xf numFmtId="3" fontId="27" fillId="0" borderId="368" xfId="8" applyNumberFormat="1" applyFont="1" applyFill="1" applyBorder="1" applyAlignment="1" applyProtection="1">
      <alignment vertical="center"/>
      <protection locked="0"/>
    </xf>
    <xf numFmtId="49" fontId="27" fillId="16" borderId="476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>
      <alignment horizontal="center" vertical="center" wrapText="1"/>
    </xf>
    <xf numFmtId="3" fontId="23" fillId="0" borderId="533" xfId="8" applyNumberFormat="1" applyFont="1" applyFill="1" applyBorder="1" applyAlignment="1" applyProtection="1">
      <alignment vertical="center"/>
      <protection locked="0"/>
    </xf>
    <xf numFmtId="2" fontId="23" fillId="0" borderId="5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2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12" xfId="0" applyFont="1" applyBorder="1" applyAlignment="1">
      <alignment horizontal="center" vertical="center" wrapText="1"/>
    </xf>
    <xf numFmtId="3" fontId="23" fillId="0" borderId="368" xfId="8" applyNumberFormat="1" applyFont="1" applyFill="1" applyBorder="1" applyAlignment="1" applyProtection="1">
      <alignment vertical="center"/>
      <protection locked="0"/>
    </xf>
    <xf numFmtId="49" fontId="23" fillId="16" borderId="56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6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6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5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67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534" xfId="0" applyFont="1" applyBorder="1" applyAlignment="1">
      <alignment horizontal="left" vertical="center" wrapText="1"/>
    </xf>
    <xf numFmtId="49" fontId="23" fillId="0" borderId="53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6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65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537" xfId="1" applyNumberFormat="1" applyFont="1" applyFill="1" applyBorder="1" applyAlignment="1" applyProtection="1">
      <alignment horizontal="right" vertical="center"/>
      <protection locked="0"/>
    </xf>
    <xf numFmtId="3" fontId="20" fillId="0" borderId="451" xfId="8" applyNumberFormat="1" applyFont="1" applyFill="1" applyBorder="1" applyAlignment="1" applyProtection="1">
      <alignment vertical="center"/>
      <protection locked="0"/>
    </xf>
    <xf numFmtId="3" fontId="20" fillId="0" borderId="569" xfId="8" applyNumberFormat="1" applyFont="1" applyFill="1" applyBorder="1" applyAlignment="1" applyProtection="1">
      <alignment vertical="center"/>
      <protection locked="0"/>
    </xf>
    <xf numFmtId="3" fontId="20" fillId="0" borderId="533" xfId="8" applyNumberFormat="1" applyFont="1" applyFill="1" applyBorder="1" applyAlignment="1" applyProtection="1">
      <alignment vertical="center"/>
      <protection locked="0"/>
    </xf>
    <xf numFmtId="49" fontId="23" fillId="16" borderId="2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3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6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58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539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382" xfId="8" applyNumberFormat="1" applyFont="1" applyFill="1" applyBorder="1" applyAlignment="1" applyProtection="1">
      <alignment vertical="center"/>
      <protection locked="0"/>
    </xf>
    <xf numFmtId="49" fontId="23" fillId="0" borderId="16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0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451" xfId="8" applyNumberFormat="1" applyFont="1" applyFill="1" applyBorder="1" applyAlignment="1" applyProtection="1">
      <alignment vertical="center"/>
      <protection locked="0"/>
    </xf>
    <xf numFmtId="3" fontId="23" fillId="0" borderId="571" xfId="8" applyNumberFormat="1" applyFont="1" applyFill="1" applyBorder="1" applyAlignment="1" applyProtection="1">
      <alignment vertical="center"/>
      <protection locked="0"/>
    </xf>
    <xf numFmtId="3" fontId="12" fillId="0" borderId="27" xfId="8" applyNumberFormat="1" applyFont="1" applyFill="1" applyBorder="1" applyAlignment="1" applyProtection="1">
      <alignment vertical="center"/>
      <protection locked="0"/>
    </xf>
    <xf numFmtId="3" fontId="12" fillId="0" borderId="26" xfId="8" applyNumberFormat="1" applyFont="1" applyFill="1" applyBorder="1" applyAlignment="1" applyProtection="1">
      <alignment vertical="center"/>
      <protection locked="0"/>
    </xf>
    <xf numFmtId="0" fontId="109" fillId="0" borderId="3" xfId="0" applyFont="1" applyBorder="1" applyAlignment="1">
      <alignment vertical="center" wrapText="1"/>
    </xf>
    <xf numFmtId="49" fontId="23" fillId="16" borderId="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6" xfId="8" applyNumberFormat="1" applyFont="1" applyFill="1" applyBorder="1" applyAlignment="1" applyProtection="1">
      <alignment vertical="center"/>
      <protection locked="0"/>
    </xf>
    <xf numFmtId="49" fontId="23" fillId="16" borderId="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7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7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7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57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451" xfId="9" applyNumberFormat="1" applyFont="1" applyBorder="1" applyAlignment="1">
      <alignment vertical="center" wrapText="1"/>
    </xf>
    <xf numFmtId="49" fontId="23" fillId="0" borderId="476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70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28" xfId="0" applyFont="1" applyBorder="1" applyAlignment="1">
      <alignment vertical="center" wrapText="1"/>
    </xf>
    <xf numFmtId="3" fontId="23" fillId="0" borderId="14" xfId="8" applyNumberFormat="1" applyFont="1" applyFill="1" applyBorder="1" applyAlignment="1" applyProtection="1">
      <alignment vertical="center"/>
      <protection locked="0"/>
    </xf>
    <xf numFmtId="10" fontId="23" fillId="0" borderId="526" xfId="1" applyNumberFormat="1" applyFont="1" applyFill="1" applyBorder="1" applyAlignment="1" applyProtection="1">
      <alignment horizontal="right" vertical="center"/>
      <protection locked="0"/>
    </xf>
    <xf numFmtId="3" fontId="23" fillId="0" borderId="529" xfId="8" applyNumberFormat="1" applyFont="1" applyFill="1" applyBorder="1" applyAlignment="1" applyProtection="1">
      <alignment horizontal="right" vertical="center"/>
      <protection locked="0"/>
    </xf>
    <xf numFmtId="3" fontId="23" fillId="0" borderId="529" xfId="8" applyNumberFormat="1" applyFont="1" applyFill="1" applyBorder="1" applyAlignment="1" applyProtection="1">
      <alignment vertical="center"/>
      <protection locked="0"/>
    </xf>
    <xf numFmtId="49" fontId="23" fillId="16" borderId="58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85" xfId="8" applyNumberFormat="1" applyFont="1" applyFill="1" applyBorder="1" applyAlignment="1" applyProtection="1">
      <alignment vertical="center" wrapText="1"/>
      <protection locked="0"/>
    </xf>
    <xf numFmtId="49" fontId="23" fillId="16" borderId="586" xfId="8" applyNumberFormat="1" applyFont="1" applyFill="1" applyBorder="1" applyAlignment="1" applyProtection="1">
      <alignment vertical="center" wrapText="1"/>
      <protection locked="0"/>
    </xf>
    <xf numFmtId="49" fontId="23" fillId="16" borderId="58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2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91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14" xfId="8" applyNumberFormat="1" applyFont="1" applyFill="1" applyBorder="1" applyAlignment="1" applyProtection="1">
      <alignment vertical="center"/>
      <protection locked="0"/>
    </xf>
    <xf numFmtId="3" fontId="20" fillId="0" borderId="368" xfId="8" applyNumberFormat="1" applyFont="1" applyFill="1" applyBorder="1" applyAlignment="1" applyProtection="1">
      <alignment vertical="center"/>
      <protection locked="0"/>
    </xf>
    <xf numFmtId="49" fontId="23" fillId="16" borderId="370" xfId="8" applyNumberFormat="1" applyFont="1" applyFill="1" applyBorder="1" applyAlignment="1" applyProtection="1">
      <alignment vertical="center" wrapText="1"/>
      <protection locked="0"/>
    </xf>
    <xf numFmtId="10" fontId="20" fillId="0" borderId="526" xfId="1" applyNumberFormat="1" applyFont="1" applyFill="1" applyBorder="1" applyAlignment="1" applyProtection="1">
      <alignment horizontal="right" vertical="center"/>
      <protection locked="0"/>
    </xf>
    <xf numFmtId="0" fontId="109" fillId="0" borderId="4" xfId="0" applyFont="1" applyBorder="1" applyAlignment="1">
      <alignment vertical="center" wrapText="1"/>
    </xf>
    <xf numFmtId="49" fontId="19" fillId="12" borderId="112" xfId="8" applyNumberFormat="1" applyFont="1" applyFill="1" applyBorder="1" applyAlignment="1" applyProtection="1">
      <alignment horizontal="left" vertical="center" wrapText="1"/>
      <protection locked="0"/>
    </xf>
    <xf numFmtId="49" fontId="19" fillId="12" borderId="113" xfId="8" applyNumberFormat="1" applyFont="1" applyFill="1" applyBorder="1" applyAlignment="1" applyProtection="1">
      <alignment horizontal="center" vertical="center" wrapText="1"/>
      <protection locked="0"/>
    </xf>
    <xf numFmtId="49" fontId="19" fillId="12" borderId="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8" applyNumberFormat="1" applyFont="1" applyFill="1" applyBorder="1" applyAlignment="1" applyProtection="1">
      <alignment vertical="center"/>
      <protection locked="0"/>
    </xf>
    <xf numFmtId="49" fontId="6" fillId="16" borderId="417" xfId="8" applyNumberFormat="1" applyFont="1" applyFill="1" applyBorder="1" applyAlignment="1" applyProtection="1">
      <alignment horizontal="left" vertical="center" wrapText="1"/>
      <protection locked="0"/>
    </xf>
    <xf numFmtId="3" fontId="6" fillId="0" borderId="368" xfId="8" applyNumberFormat="1" applyFont="1" applyFill="1" applyBorder="1" applyAlignment="1" applyProtection="1">
      <alignment vertical="center"/>
      <protection locked="0"/>
    </xf>
    <xf numFmtId="3" fontId="6" fillId="0" borderId="529" xfId="8" applyNumberFormat="1" applyFont="1" applyFill="1" applyBorder="1" applyAlignment="1" applyProtection="1">
      <alignment vertical="center"/>
      <protection locked="0"/>
    </xf>
    <xf numFmtId="3" fontId="6" fillId="0" borderId="451" xfId="9" applyNumberFormat="1" applyFont="1" applyBorder="1" applyAlignment="1">
      <alignment horizontal="right" vertical="center"/>
    </xf>
    <xf numFmtId="49" fontId="6" fillId="16" borderId="57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9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59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95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526" xfId="1" applyNumberFormat="1" applyFont="1" applyFill="1" applyBorder="1" applyAlignment="1" applyProtection="1">
      <alignment horizontal="right" vertical="center"/>
      <protection locked="0"/>
    </xf>
    <xf numFmtId="3" fontId="33" fillId="0" borderId="14" xfId="8" applyNumberFormat="1" applyFont="1" applyFill="1" applyBorder="1" applyAlignment="1" applyProtection="1">
      <alignment vertical="center"/>
      <protection locked="0"/>
    </xf>
    <xf numFmtId="3" fontId="33" fillId="0" borderId="368" xfId="8" applyNumberFormat="1" applyFont="1" applyFill="1" applyBorder="1" applyAlignment="1" applyProtection="1">
      <alignment vertical="center"/>
      <protection locked="0"/>
    </xf>
    <xf numFmtId="49" fontId="6" fillId="0" borderId="59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8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8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69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451" xfId="8" applyNumberFormat="1" applyFont="1" applyFill="1" applyBorder="1" applyAlignment="1" applyProtection="1">
      <alignment horizontal="right" vertical="center"/>
      <protection locked="0"/>
    </xf>
    <xf numFmtId="3" fontId="33" fillId="0" borderId="529" xfId="8" applyNumberFormat="1" applyFont="1" applyFill="1" applyBorder="1" applyAlignment="1" applyProtection="1">
      <alignment horizontal="right" vertical="center"/>
      <protection locked="0"/>
    </xf>
    <xf numFmtId="3" fontId="11" fillId="0" borderId="27" xfId="8" applyNumberFormat="1" applyFont="1" applyFill="1" applyBorder="1" applyAlignment="1" applyProtection="1">
      <alignment vertical="center"/>
      <protection locked="0"/>
    </xf>
    <xf numFmtId="3" fontId="11" fillId="0" borderId="271" xfId="8" applyNumberFormat="1" applyFont="1" applyFill="1" applyBorder="1" applyAlignment="1" applyProtection="1">
      <alignment vertical="center"/>
      <protection locked="0"/>
    </xf>
    <xf numFmtId="3" fontId="31" fillId="12" borderId="2" xfId="8" applyNumberFormat="1" applyFont="1" applyFill="1" applyBorder="1" applyAlignment="1" applyProtection="1">
      <alignment vertical="center"/>
      <protection locked="0"/>
    </xf>
    <xf numFmtId="3" fontId="31" fillId="12" borderId="10" xfId="8" applyNumberFormat="1" applyFont="1" applyFill="1" applyBorder="1" applyAlignment="1" applyProtection="1">
      <alignment vertical="center"/>
      <protection locked="0"/>
    </xf>
    <xf numFmtId="10" fontId="23" fillId="0" borderId="598" xfId="1" applyNumberFormat="1" applyFont="1" applyFill="1" applyBorder="1" applyAlignment="1" applyProtection="1">
      <alignment horizontal="right" vertical="center"/>
      <protection locked="0"/>
    </xf>
    <xf numFmtId="49" fontId="23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599" xfId="8" applyNumberFormat="1" applyFont="1" applyFill="1" applyBorder="1" applyAlignment="1" applyProtection="1">
      <alignment vertical="center"/>
      <protection locked="0"/>
    </xf>
    <xf numFmtId="49" fontId="23" fillId="16" borderId="41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06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529" xfId="8" applyNumberFormat="1" applyFont="1" applyFill="1" applyBorder="1" applyAlignment="1" applyProtection="1">
      <alignment horizontal="right" vertical="center"/>
      <protection locked="0"/>
    </xf>
    <xf numFmtId="49" fontId="23" fillId="0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6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271" xfId="8" applyNumberFormat="1" applyFont="1" applyFill="1" applyBorder="1" applyAlignment="1" applyProtection="1">
      <alignment horizontal="right" vertical="center"/>
      <protection locked="0"/>
    </xf>
    <xf numFmtId="3" fontId="23" fillId="0" borderId="4" xfId="8" applyNumberFormat="1" applyFont="1" applyFill="1" applyBorder="1" applyAlignment="1" applyProtection="1">
      <alignment vertical="center"/>
      <protection locked="0"/>
    </xf>
    <xf numFmtId="3" fontId="12" fillId="7" borderId="10" xfId="8" applyNumberFormat="1" applyFont="1" applyFill="1" applyBorder="1" applyAlignment="1" applyProtection="1">
      <alignment vertical="center"/>
      <protection locked="0"/>
    </xf>
    <xf numFmtId="49" fontId="19" fillId="17" borderId="1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98" xfId="1" applyNumberFormat="1" applyFont="1" applyFill="1" applyBorder="1" applyAlignment="1" applyProtection="1">
      <alignment horizontal="right" vertical="center"/>
      <protection locked="0"/>
    </xf>
    <xf numFmtId="3" fontId="27" fillId="0" borderId="527" xfId="8" applyNumberFormat="1" applyFont="1" applyFill="1" applyBorder="1" applyAlignment="1" applyProtection="1">
      <alignment horizontal="right" vertical="center"/>
      <protection locked="0"/>
    </xf>
    <xf numFmtId="3" fontId="27" fillId="0" borderId="599" xfId="8" applyNumberFormat="1" applyFont="1" applyFill="1" applyBorder="1" applyAlignment="1" applyProtection="1">
      <alignment horizontal="right" vertical="center"/>
      <protection locked="0"/>
    </xf>
    <xf numFmtId="49" fontId="27" fillId="16" borderId="60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01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526" xfId="1" applyNumberFormat="1" applyFont="1" applyFill="1" applyBorder="1" applyAlignment="1" applyProtection="1">
      <alignment horizontal="right" vertical="center"/>
      <protection locked="0"/>
    </xf>
    <xf numFmtId="3" fontId="27" fillId="0" borderId="529" xfId="8" applyNumberFormat="1" applyFont="1" applyFill="1" applyBorder="1" applyAlignment="1" applyProtection="1">
      <alignment horizontal="right" vertical="center"/>
      <protection locked="0"/>
    </xf>
    <xf numFmtId="49" fontId="27" fillId="16" borderId="58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8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0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1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526" xfId="1" applyNumberFormat="1" applyFont="1" applyFill="1" applyBorder="1" applyAlignment="1" applyProtection="1">
      <alignment horizontal="right" vertical="center"/>
      <protection locked="0"/>
    </xf>
    <xf numFmtId="3" fontId="11" fillId="0" borderId="451" xfId="8" applyNumberFormat="1" applyFont="1" applyFill="1" applyBorder="1" applyAlignment="1" applyProtection="1">
      <alignment vertical="center"/>
      <protection locked="0"/>
    </xf>
    <xf numFmtId="3" fontId="11" fillId="0" borderId="529" xfId="8" applyNumberFormat="1" applyFont="1" applyFill="1" applyBorder="1" applyAlignment="1" applyProtection="1">
      <alignment vertical="center"/>
      <protection locked="0"/>
    </xf>
    <xf numFmtId="49" fontId="6" fillId="16" borderId="526" xfId="8" applyNumberFormat="1" applyFont="1" applyFill="1" applyBorder="1" applyAlignment="1" applyProtection="1">
      <alignment vertical="center" wrapText="1"/>
      <protection locked="0"/>
    </xf>
    <xf numFmtId="49" fontId="6" fillId="16" borderId="529" xfId="8" applyNumberFormat="1" applyFont="1" applyFill="1" applyBorder="1" applyAlignment="1" applyProtection="1">
      <alignment vertical="center" wrapText="1"/>
      <protection locked="0"/>
    </xf>
    <xf numFmtId="49" fontId="6" fillId="0" borderId="52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76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04" xfId="1" applyNumberFormat="1" applyFont="1" applyFill="1" applyBorder="1" applyAlignment="1" applyProtection="1">
      <alignment horizontal="right" vertical="center"/>
      <protection locked="0"/>
    </xf>
    <xf numFmtId="49" fontId="6" fillId="16" borderId="60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" xfId="8" applyNumberFormat="1" applyFont="1" applyFill="1" applyBorder="1" applyAlignment="1" applyProtection="1">
      <alignment vertical="center" wrapText="1"/>
      <protection locked="0"/>
    </xf>
    <xf numFmtId="3" fontId="6" fillId="0" borderId="606" xfId="8" applyNumberFormat="1" applyFont="1" applyFill="1" applyBorder="1" applyAlignment="1" applyProtection="1">
      <alignment horizontal="right" vertical="center"/>
      <protection locked="0"/>
    </xf>
    <xf numFmtId="3" fontId="6" fillId="0" borderId="607" xfId="8" applyNumberFormat="1" applyFont="1" applyFill="1" applyBorder="1" applyAlignment="1" applyProtection="1">
      <alignment horizontal="right" vertical="center"/>
      <protection locked="0"/>
    </xf>
    <xf numFmtId="49" fontId="6" fillId="16" borderId="6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0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1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" xfId="8" applyNumberFormat="1" applyFont="1" applyFill="1" applyBorder="1" applyAlignment="1" applyProtection="1">
      <alignment vertical="center" wrapText="1"/>
      <protection locked="0"/>
    </xf>
    <xf numFmtId="49" fontId="6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7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1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3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14" xfId="1" applyNumberFormat="1" applyFont="1" applyFill="1" applyBorder="1" applyAlignment="1" applyProtection="1">
      <alignment horizontal="right" vertical="center"/>
      <protection locked="0"/>
    </xf>
    <xf numFmtId="49" fontId="6" fillId="16" borderId="61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473" xfId="8" applyNumberFormat="1" applyFont="1" applyFill="1" applyBorder="1" applyAlignment="1" applyProtection="1">
      <alignment horizontal="left" vertical="center" wrapText="1"/>
      <protection locked="0"/>
    </xf>
    <xf numFmtId="3" fontId="6" fillId="0" borderId="617" xfId="8" applyNumberFormat="1" applyFont="1" applyFill="1" applyBorder="1" applyAlignment="1" applyProtection="1">
      <alignment horizontal="right" vertical="center"/>
      <protection locked="0"/>
    </xf>
    <xf numFmtId="3" fontId="6" fillId="0" borderId="618" xfId="8" applyNumberFormat="1" applyFont="1" applyFill="1" applyBorder="1" applyAlignment="1" applyProtection="1">
      <alignment horizontal="right" vertical="center"/>
      <protection locked="0"/>
    </xf>
    <xf numFmtId="49" fontId="6" fillId="16" borderId="61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0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21" xfId="1" applyNumberFormat="1" applyFont="1" applyFill="1" applyBorder="1" applyAlignment="1" applyProtection="1">
      <alignment horizontal="right" vertical="center"/>
      <protection locked="0"/>
    </xf>
    <xf numFmtId="49" fontId="6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6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621" xfId="1" applyNumberFormat="1" applyFont="1" applyFill="1" applyBorder="1" applyAlignment="1" applyProtection="1">
      <alignment horizontal="right" vertical="center"/>
      <protection locked="0"/>
    </xf>
    <xf numFmtId="49" fontId="27" fillId="0" borderId="28" xfId="8" applyNumberFormat="1" applyFont="1" applyFill="1" applyBorder="1" applyAlignment="1" applyProtection="1">
      <alignment vertical="center" wrapText="1"/>
      <protection locked="0"/>
    </xf>
    <xf numFmtId="49" fontId="27" fillId="0" borderId="23" xfId="8" applyNumberFormat="1" applyFont="1" applyFill="1" applyBorder="1" applyAlignment="1" applyProtection="1">
      <alignment vertical="center" wrapText="1"/>
      <protection locked="0"/>
    </xf>
    <xf numFmtId="49" fontId="6" fillId="0" borderId="37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8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29" xfId="8" applyNumberFormat="1" applyFont="1" applyFill="1" applyBorder="1" applyAlignment="1" applyProtection="1">
      <alignment vertical="center" wrapText="1"/>
      <protection locked="0"/>
    </xf>
    <xf numFmtId="49" fontId="23" fillId="16" borderId="63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2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6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6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370" xfId="1" applyNumberFormat="1" applyFont="1" applyFill="1" applyBorder="1" applyAlignment="1" applyProtection="1">
      <alignment horizontal="right" vertical="center"/>
      <protection locked="0"/>
    </xf>
    <xf numFmtId="3" fontId="33" fillId="0" borderId="14" xfId="8" applyNumberFormat="1" applyFont="1" applyFill="1" applyBorder="1" applyAlignment="1" applyProtection="1">
      <alignment horizontal="right" vertical="center"/>
      <protection locked="0"/>
    </xf>
    <xf numFmtId="3" fontId="33" fillId="0" borderId="368" xfId="8" applyNumberFormat="1" applyFont="1" applyFill="1" applyBorder="1" applyAlignment="1" applyProtection="1">
      <alignment horizontal="right" vertical="center"/>
      <protection locked="0"/>
    </xf>
    <xf numFmtId="49" fontId="6" fillId="16" borderId="368" xfId="8" applyNumberFormat="1" applyFont="1" applyFill="1" applyBorder="1" applyAlignment="1" applyProtection="1">
      <alignment vertical="center" wrapText="1"/>
      <protection locked="0"/>
    </xf>
    <xf numFmtId="49" fontId="6" fillId="16" borderId="378" xfId="8" applyNumberFormat="1" applyFont="1" applyFill="1" applyBorder="1" applyAlignment="1" applyProtection="1">
      <alignment vertical="center" wrapText="1"/>
      <protection locked="0"/>
    </xf>
    <xf numFmtId="49" fontId="6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3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621" xfId="1" applyNumberFormat="1" applyFont="1" applyFill="1" applyBorder="1" applyAlignment="1" applyProtection="1">
      <alignment horizontal="right" vertical="center"/>
      <protection locked="0"/>
    </xf>
    <xf numFmtId="3" fontId="33" fillId="0" borderId="452" xfId="8" applyNumberFormat="1" applyFont="1" applyFill="1" applyBorder="1" applyAlignment="1" applyProtection="1">
      <alignment horizontal="right" vertical="center"/>
      <protection locked="0"/>
    </xf>
    <xf numFmtId="49" fontId="6" fillId="16" borderId="63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65" xfId="8" applyNumberFormat="1" applyFont="1" applyFill="1" applyBorder="1" applyAlignment="1" applyProtection="1">
      <alignment vertical="center" wrapText="1"/>
      <protection locked="0"/>
    </xf>
    <xf numFmtId="10" fontId="27" fillId="0" borderId="640" xfId="1" applyNumberFormat="1" applyFont="1" applyFill="1" applyBorder="1" applyAlignment="1" applyProtection="1">
      <alignment horizontal="right" vertical="center"/>
      <protection locked="0"/>
    </xf>
    <xf numFmtId="49" fontId="27" fillId="16" borderId="637" xfId="8" applyNumberFormat="1" applyFont="1" applyFill="1" applyBorder="1" applyAlignment="1" applyProtection="1">
      <alignment horizontal="left" vertical="center" wrapText="1"/>
      <protection locked="0"/>
    </xf>
    <xf numFmtId="3" fontId="27" fillId="6" borderId="618" xfId="8" applyNumberFormat="1" applyFont="1" applyFill="1" applyBorder="1" applyAlignment="1" applyProtection="1">
      <alignment horizontal="right" vertical="center"/>
      <protection locked="0"/>
    </xf>
    <xf numFmtId="49" fontId="27" fillId="0" borderId="128" xfId="8" applyNumberFormat="1" applyFont="1" applyFill="1" applyBorder="1" applyAlignment="1" applyProtection="1">
      <alignment horizontal="center" vertical="center" wrapText="1"/>
      <protection locked="0"/>
    </xf>
    <xf numFmtId="3" fontId="6" fillId="6" borderId="451" xfId="8" applyNumberFormat="1" applyFont="1" applyFill="1" applyBorder="1" applyAlignment="1" applyProtection="1">
      <alignment horizontal="right" vertical="center"/>
      <protection locked="0"/>
    </xf>
    <xf numFmtId="49" fontId="6" fillId="16" borderId="6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8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632" xfId="0" applyFont="1" applyBorder="1" applyAlignment="1">
      <alignment horizontal="left" vertical="center" wrapText="1"/>
    </xf>
    <xf numFmtId="49" fontId="6" fillId="16" borderId="635" xfId="8" applyNumberFormat="1" applyFont="1" applyFill="1" applyBorder="1" applyAlignment="1" applyProtection="1">
      <alignment horizontal="center" vertical="center" wrapText="1"/>
      <protection locked="0"/>
    </xf>
    <xf numFmtId="10" fontId="11" fillId="0" borderId="621" xfId="1" applyNumberFormat="1" applyFont="1" applyFill="1" applyBorder="1" applyAlignment="1" applyProtection="1">
      <alignment horizontal="right" vertical="center"/>
      <protection locked="0"/>
    </xf>
    <xf numFmtId="3" fontId="11" fillId="0" borderId="452" xfId="8" applyNumberFormat="1" applyFont="1" applyFill="1" applyBorder="1" applyAlignment="1" applyProtection="1">
      <alignment horizontal="right" vertical="center"/>
      <protection locked="0"/>
    </xf>
    <xf numFmtId="3" fontId="23" fillId="0" borderId="451" xfId="9" applyNumberFormat="1" applyFont="1" applyBorder="1" applyAlignment="1">
      <alignment vertical="center"/>
    </xf>
    <xf numFmtId="49" fontId="6" fillId="16" borderId="642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27" xfId="9" applyNumberFormat="1" applyFont="1" applyBorder="1" applyAlignment="1">
      <alignment vertical="center"/>
    </xf>
    <xf numFmtId="49" fontId="6" fillId="16" borderId="64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5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9" applyNumberFormat="1" applyFont="1" applyBorder="1" applyAlignment="1">
      <alignment vertical="center"/>
    </xf>
    <xf numFmtId="49" fontId="6" fillId="16" borderId="6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45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4" xfId="9" applyNumberFormat="1" applyFont="1" applyBorder="1" applyAlignment="1">
      <alignment vertical="center"/>
    </xf>
    <xf numFmtId="49" fontId="6" fillId="16" borderId="37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3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4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47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43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78" xfId="8" applyNumberFormat="1" applyFont="1" applyFill="1" applyBorder="1" applyAlignment="1" applyProtection="1">
      <alignment vertical="center" wrapText="1"/>
      <protection locked="0"/>
    </xf>
    <xf numFmtId="49" fontId="6" fillId="0" borderId="64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48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49" xfId="1" applyNumberFormat="1" applyFont="1" applyFill="1" applyBorder="1" applyAlignment="1" applyProtection="1">
      <alignment horizontal="right" vertical="center"/>
      <protection locked="0"/>
    </xf>
    <xf numFmtId="49" fontId="6" fillId="16" borderId="63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2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621" xfId="1" applyNumberFormat="1" applyFont="1" applyFill="1" applyBorder="1" applyAlignment="1" applyProtection="1">
      <alignment horizontal="right" vertical="center"/>
      <protection locked="0"/>
    </xf>
    <xf numFmtId="49" fontId="23" fillId="16" borderId="62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9" xfId="8" applyNumberFormat="1" applyFont="1" applyFill="1" applyBorder="1" applyAlignment="1" applyProtection="1">
      <alignment horizontal="center" vertical="center" wrapText="1"/>
      <protection locked="0"/>
    </xf>
    <xf numFmtId="10" fontId="33" fillId="0" borderId="150" xfId="1" applyNumberFormat="1" applyFont="1" applyFill="1" applyBorder="1" applyAlignment="1" applyProtection="1">
      <alignment horizontal="right" vertical="center"/>
      <protection locked="0"/>
    </xf>
    <xf numFmtId="3" fontId="24" fillId="0" borderId="451" xfId="9" applyNumberFormat="1" applyBorder="1" applyAlignment="1">
      <alignment vertical="center"/>
    </xf>
    <xf numFmtId="3" fontId="27" fillId="0" borderId="618" xfId="8" applyNumberFormat="1" applyFont="1" applyFill="1" applyBorder="1" applyAlignment="1" applyProtection="1">
      <alignment vertical="center"/>
      <protection locked="0"/>
    </xf>
    <xf numFmtId="49" fontId="27" fillId="19" borderId="638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39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618" xfId="8" applyNumberFormat="1" applyFont="1" applyFill="1" applyBorder="1" applyAlignment="1" applyProtection="1">
      <alignment horizontal="right" vertical="center"/>
      <protection locked="0"/>
    </xf>
    <xf numFmtId="3" fontId="23" fillId="0" borderId="451" xfId="9" applyNumberFormat="1" applyFont="1" applyBorder="1" applyAlignment="1">
      <alignment horizontal="right" vertical="center"/>
    </xf>
    <xf numFmtId="10" fontId="27" fillId="0" borderId="9" xfId="1" applyNumberFormat="1" applyFont="1" applyFill="1" applyBorder="1" applyAlignment="1" applyProtection="1">
      <alignment horizontal="right" vertical="center"/>
      <protection locked="0"/>
    </xf>
    <xf numFmtId="3" fontId="27" fillId="0" borderId="2" xfId="8" applyNumberFormat="1" applyFont="1" applyFill="1" applyBorder="1" applyAlignment="1" applyProtection="1">
      <alignment horizontal="right" vertical="center"/>
      <protection locked="0"/>
    </xf>
    <xf numFmtId="3" fontId="27" fillId="0" borderId="10" xfId="8" applyNumberFormat="1" applyFont="1" applyFill="1" applyBorder="1" applyAlignment="1" applyProtection="1">
      <alignment horizontal="right" vertical="center"/>
      <protection locked="0"/>
    </xf>
    <xf numFmtId="49" fontId="27" fillId="16" borderId="11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1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" xfId="8" applyNumberFormat="1" applyFont="1" applyFill="1" applyBorder="1" applyAlignment="1" applyProtection="1">
      <alignment horizontal="center" vertical="center" wrapText="1"/>
      <protection locked="0"/>
    </xf>
    <xf numFmtId="10" fontId="27" fillId="0" borderId="8" xfId="1" applyNumberFormat="1" applyFont="1" applyFill="1" applyBorder="1" applyAlignment="1" applyProtection="1">
      <alignment horizontal="right" vertical="center"/>
      <protection locked="0"/>
    </xf>
    <xf numFmtId="49" fontId="27" fillId="16" borderId="416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4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45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621" xfId="1" applyNumberFormat="1" applyFont="1" applyFill="1" applyBorder="1" applyAlignment="1" applyProtection="1">
      <alignment horizontal="right" vertical="center"/>
      <protection locked="0"/>
    </xf>
    <xf numFmtId="49" fontId="23" fillId="19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9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460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1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36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2" xfId="0" applyNumberFormat="1" applyFont="1" applyBorder="1" applyAlignment="1">
      <alignment vertical="center" wrapText="1"/>
    </xf>
    <xf numFmtId="49" fontId="23" fillId="19" borderId="630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463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621" xfId="1" applyNumberFormat="1" applyFont="1" applyFill="1" applyBorder="1" applyAlignment="1" applyProtection="1">
      <alignment horizontal="right" vertical="center"/>
      <protection locked="0"/>
    </xf>
    <xf numFmtId="3" fontId="12" fillId="0" borderId="14" xfId="8" applyNumberFormat="1" applyFont="1" applyFill="1" applyBorder="1" applyAlignment="1" applyProtection="1">
      <alignment vertical="center"/>
      <protection locked="0"/>
    </xf>
    <xf numFmtId="3" fontId="12" fillId="0" borderId="368" xfId="8" applyNumberFormat="1" applyFont="1" applyFill="1" applyBorder="1" applyAlignment="1" applyProtection="1">
      <alignment vertical="center"/>
      <protection locked="0"/>
    </xf>
    <xf numFmtId="49" fontId="23" fillId="0" borderId="37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5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2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4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271" xfId="8" applyNumberFormat="1" applyFont="1" applyFill="1" applyBorder="1" applyAlignment="1" applyProtection="1">
      <alignment horizontal="right" vertical="center"/>
      <protection locked="0"/>
    </xf>
    <xf numFmtId="49" fontId="23" fillId="0" borderId="272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4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69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514" xfId="8" applyNumberFormat="1" applyFont="1" applyFill="1" applyBorder="1" applyAlignment="1" applyProtection="1">
      <alignment horizontal="right" vertical="center"/>
      <protection locked="0"/>
    </xf>
    <xf numFmtId="49" fontId="23" fillId="16" borderId="56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97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54" xfId="8" applyNumberFormat="1" applyFont="1" applyFill="1" applyBorder="1" applyAlignment="1" applyProtection="1">
      <alignment horizontal="left" vertical="center" wrapText="1"/>
      <protection locked="0"/>
    </xf>
    <xf numFmtId="10" fontId="12" fillId="12" borderId="5" xfId="1" applyNumberFormat="1" applyFont="1" applyFill="1" applyBorder="1" applyAlignment="1" applyProtection="1">
      <alignment horizontal="right" vertical="center"/>
      <protection locked="0"/>
    </xf>
    <xf numFmtId="3" fontId="19" fillId="12" borderId="3" xfId="8" applyNumberFormat="1" applyFont="1" applyFill="1" applyBorder="1" applyAlignment="1" applyProtection="1">
      <alignment horizontal="right" vertical="center"/>
      <protection locked="0"/>
    </xf>
    <xf numFmtId="3" fontId="19" fillId="12" borderId="4" xfId="8" applyNumberFormat="1" applyFont="1" applyFill="1" applyBorder="1" applyAlignment="1" applyProtection="1">
      <alignment horizontal="right" vertical="center"/>
      <protection locked="0"/>
    </xf>
    <xf numFmtId="49" fontId="19" fillId="17" borderId="185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86" xfId="8" applyNumberFormat="1" applyFont="1" applyFill="1" applyBorder="1" applyAlignment="1" applyProtection="1">
      <alignment horizontal="center" vertical="center" wrapText="1"/>
      <protection locked="0"/>
    </xf>
    <xf numFmtId="10" fontId="12" fillId="0" borderId="640" xfId="1" applyNumberFormat="1" applyFont="1" applyFill="1" applyBorder="1" applyAlignment="1" applyProtection="1">
      <alignment horizontal="right" vertical="center"/>
      <protection locked="0"/>
    </xf>
    <xf numFmtId="3" fontId="23" fillId="6" borderId="617" xfId="8" applyNumberFormat="1" applyFont="1" applyFill="1" applyBorder="1" applyAlignment="1" applyProtection="1">
      <alignment horizontal="right" vertical="center"/>
      <protection locked="0"/>
    </xf>
    <xf numFmtId="3" fontId="23" fillId="6" borderId="618" xfId="8" applyNumberFormat="1" applyFont="1" applyFill="1" applyBorder="1" applyAlignment="1" applyProtection="1">
      <alignment horizontal="right" vertical="center"/>
      <protection locked="0"/>
    </xf>
    <xf numFmtId="49" fontId="23" fillId="16" borderId="65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5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382" xfId="8" applyNumberFormat="1" applyFont="1" applyFill="1" applyBorder="1" applyAlignment="1" applyProtection="1">
      <alignment horizontal="right" vertical="center"/>
      <protection locked="0"/>
    </xf>
    <xf numFmtId="2" fontId="27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28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28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57" xfId="8" applyNumberFormat="1" applyFont="1" applyFill="1" applyBorder="1" applyAlignment="1" applyProtection="1">
      <alignment horizontal="right" vertical="center"/>
      <protection locked="0"/>
    </xf>
    <xf numFmtId="3" fontId="23" fillId="0" borderId="627" xfId="8" applyNumberFormat="1" applyFont="1" applyFill="1" applyBorder="1" applyAlignment="1" applyProtection="1">
      <alignment horizontal="right" vertical="center"/>
      <protection locked="0"/>
    </xf>
    <xf numFmtId="49" fontId="23" fillId="16" borderId="646" xfId="8" applyNumberFormat="1" applyFont="1" applyFill="1" applyBorder="1" applyAlignment="1" applyProtection="1">
      <alignment horizontal="center" vertical="center" wrapText="1"/>
      <protection locked="0"/>
    </xf>
    <xf numFmtId="10" fontId="19" fillId="0" borderId="621" xfId="1" applyNumberFormat="1" applyFont="1" applyFill="1" applyBorder="1" applyAlignment="1" applyProtection="1">
      <alignment horizontal="right" vertical="center"/>
      <protection locked="0"/>
    </xf>
    <xf numFmtId="3" fontId="20" fillId="0" borderId="658" xfId="8" applyNumberFormat="1" applyFont="1" applyFill="1" applyBorder="1" applyAlignment="1" applyProtection="1">
      <alignment horizontal="right" vertical="center"/>
      <protection locked="0"/>
    </xf>
    <xf numFmtId="3" fontId="20" fillId="0" borderId="627" xfId="8" applyNumberFormat="1" applyFont="1" applyFill="1" applyBorder="1" applyAlignment="1" applyProtection="1">
      <alignment horizontal="right" vertical="center"/>
      <protection locked="0"/>
    </xf>
    <xf numFmtId="49" fontId="23" fillId="16" borderId="66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4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3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" xfId="8" applyNumberFormat="1" applyFont="1" applyFill="1" applyBorder="1" applyAlignment="1" applyProtection="1">
      <alignment vertical="center" wrapText="1"/>
      <protection locked="0"/>
    </xf>
    <xf numFmtId="49" fontId="23" fillId="16" borderId="6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34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58" xfId="8" applyNumberFormat="1" applyFont="1" applyFill="1" applyBorder="1" applyAlignment="1" applyProtection="1">
      <alignment horizontal="right" vertical="center"/>
      <protection locked="0"/>
    </xf>
    <xf numFmtId="49" fontId="19" fillId="17" borderId="637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668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30" xfId="8" applyNumberFormat="1" applyFont="1" applyFill="1" applyBorder="1" applyAlignment="1" applyProtection="1">
      <alignment horizontal="center" vertical="center" wrapText="1"/>
      <protection locked="0"/>
    </xf>
    <xf numFmtId="10" fontId="23" fillId="0" borderId="640" xfId="1" applyNumberFormat="1" applyFont="1" applyFill="1" applyBorder="1" applyAlignment="1" applyProtection="1">
      <alignment horizontal="right" vertical="center"/>
      <protection locked="0"/>
    </xf>
    <xf numFmtId="3" fontId="23" fillId="0" borderId="617" xfId="8" applyNumberFormat="1" applyFont="1" applyFill="1" applyBorder="1" applyAlignment="1" applyProtection="1">
      <alignment horizontal="right" vertical="center"/>
      <protection locked="0"/>
    </xf>
    <xf numFmtId="3" fontId="23" fillId="0" borderId="618" xfId="8" applyNumberFormat="1" applyFont="1" applyFill="1" applyBorder="1" applyAlignment="1" applyProtection="1">
      <alignment horizontal="right" vertical="center"/>
      <protection locked="0"/>
    </xf>
    <xf numFmtId="3" fontId="23" fillId="0" borderId="669" xfId="8" applyNumberFormat="1" applyFont="1" applyFill="1" applyBorder="1" applyAlignment="1" applyProtection="1">
      <alignment horizontal="right" vertical="center"/>
      <protection locked="0"/>
    </xf>
    <xf numFmtId="3" fontId="20" fillId="0" borderId="669" xfId="8" applyNumberFormat="1" applyFont="1" applyFill="1" applyBorder="1" applyAlignment="1" applyProtection="1">
      <alignment horizontal="right" vertical="center"/>
      <protection locked="0"/>
    </xf>
    <xf numFmtId="3" fontId="12" fillId="0" borderId="669" xfId="8" applyNumberFormat="1" applyFont="1" applyFill="1" applyBorder="1" applyAlignment="1" applyProtection="1">
      <alignment horizontal="right" vertical="center"/>
      <protection locked="0"/>
    </xf>
    <xf numFmtId="2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629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373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382" xfId="8" applyNumberFormat="1" applyFont="1" applyFill="1" applyBorder="1" applyAlignment="1" applyProtection="1">
      <alignment horizontal="right" vertical="center"/>
      <protection locked="0"/>
    </xf>
    <xf numFmtId="49" fontId="23" fillId="16" borderId="67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8" applyNumberFormat="1" applyFont="1" applyFill="1" applyBorder="1" applyAlignment="1" applyProtection="1">
      <alignment horizontal="left" vertical="center"/>
      <protection locked="0"/>
    </xf>
    <xf numFmtId="49" fontId="19" fillId="12" borderId="9" xfId="8" applyNumberFormat="1" applyFont="1" applyFill="1" applyBorder="1" applyAlignment="1" applyProtection="1">
      <alignment horizontal="left" vertical="center" wrapText="1"/>
      <protection locked="0"/>
    </xf>
    <xf numFmtId="0" fontId="23" fillId="12" borderId="77" xfId="8" applyNumberFormat="1" applyFont="1" applyFill="1" applyBorder="1" applyAlignment="1" applyProtection="1">
      <alignment horizontal="left" vertical="center"/>
      <protection locked="0"/>
    </xf>
    <xf numFmtId="49" fontId="23" fillId="16" borderId="61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1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672" xfId="8" applyNumberFormat="1" applyFont="1" applyFill="1" applyBorder="1" applyAlignment="1" applyProtection="1">
      <alignment horizontal="right" vertical="center"/>
      <protection locked="0"/>
    </xf>
    <xf numFmtId="3" fontId="23" fillId="0" borderId="660" xfId="8" applyNumberFormat="1" applyFont="1" applyFill="1" applyBorder="1" applyAlignment="1" applyProtection="1">
      <alignment horizontal="right" vertical="center"/>
      <protection locked="0"/>
    </xf>
    <xf numFmtId="3" fontId="23" fillId="0" borderId="673" xfId="8" applyNumberFormat="1" applyFont="1" applyFill="1" applyBorder="1" applyAlignment="1" applyProtection="1">
      <alignment horizontal="right" vertical="center"/>
      <protection locked="0"/>
    </xf>
    <xf numFmtId="49" fontId="23" fillId="16" borderId="661" xfId="8" applyNumberFormat="1" applyFont="1" applyFill="1" applyBorder="1" applyAlignment="1" applyProtection="1">
      <alignment vertical="center" wrapText="1"/>
      <protection locked="0"/>
    </xf>
    <xf numFmtId="49" fontId="23" fillId="16" borderId="664" xfId="8" applyNumberFormat="1" applyFont="1" applyFill="1" applyBorder="1" applyAlignment="1" applyProtection="1">
      <alignment vertical="center" wrapText="1"/>
      <protection locked="0"/>
    </xf>
    <xf numFmtId="49" fontId="23" fillId="16" borderId="67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2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7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6" xfId="8" applyNumberFormat="1" applyFont="1" applyFill="1" applyBorder="1" applyAlignment="1" applyProtection="1">
      <alignment horizontal="left" vertical="center" wrapText="1"/>
      <protection locked="0"/>
    </xf>
    <xf numFmtId="3" fontId="12" fillId="0" borderId="3" xfId="8" applyNumberFormat="1" applyFont="1" applyFill="1" applyBorder="1" applyAlignment="1" applyProtection="1">
      <alignment horizontal="right" vertical="center"/>
      <protection locked="0"/>
    </xf>
    <xf numFmtId="3" fontId="12" fillId="0" borderId="4" xfId="8" applyNumberFormat="1" applyFont="1" applyFill="1" applyBorder="1" applyAlignment="1" applyProtection="1">
      <alignment horizontal="right" vertical="center"/>
      <protection locked="0"/>
    </xf>
    <xf numFmtId="49" fontId="19" fillId="19" borderId="7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28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60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6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7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8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81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18" xfId="8" applyNumberFormat="1" applyFont="1" applyFill="1" applyBorder="1" applyAlignment="1" applyProtection="1">
      <alignment horizontal="right" vertical="center"/>
      <protection locked="0"/>
    </xf>
    <xf numFmtId="3" fontId="12" fillId="0" borderId="617" xfId="8" applyNumberFormat="1" applyFont="1" applyFill="1" applyBorder="1" applyAlignment="1" applyProtection="1">
      <alignment horizontal="right" vertical="center"/>
      <protection locked="0"/>
    </xf>
    <xf numFmtId="3" fontId="12" fillId="0" borderId="673" xfId="8" applyNumberFormat="1" applyFont="1" applyFill="1" applyBorder="1" applyAlignment="1" applyProtection="1">
      <alignment horizontal="right" vertical="center"/>
      <protection locked="0"/>
    </xf>
    <xf numFmtId="49" fontId="23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9" xfId="8" applyNumberFormat="1" applyFont="1" applyFill="1" applyBorder="1" applyAlignment="1" applyProtection="1">
      <alignment horizontal="center" vertical="center" wrapText="1"/>
      <protection locked="0"/>
    </xf>
    <xf numFmtId="0" fontId="109" fillId="6" borderId="28" xfId="0" applyFont="1" applyFill="1" applyBorder="1" applyAlignment="1">
      <alignment horizontal="center" vertical="center" wrapText="1"/>
    </xf>
    <xf numFmtId="49" fontId="23" fillId="16" borderId="68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25" xfId="8" applyNumberFormat="1" applyFont="1" applyFill="1" applyBorder="1" applyAlignment="1" applyProtection="1">
      <alignment horizontal="center" vertical="center" wrapText="1"/>
      <protection locked="0"/>
    </xf>
    <xf numFmtId="0" fontId="109" fillId="6" borderId="6" xfId="0" applyFont="1" applyFill="1" applyBorder="1" applyAlignment="1">
      <alignment horizontal="center" vertical="center" wrapText="1"/>
    </xf>
    <xf numFmtId="3" fontId="23" fillId="6" borderId="673" xfId="8" applyNumberFormat="1" applyFont="1" applyFill="1" applyBorder="1" applyAlignment="1" applyProtection="1">
      <alignment horizontal="right" vertical="center"/>
      <protection locked="0"/>
    </xf>
    <xf numFmtId="3" fontId="12" fillId="6" borderId="368" xfId="8" applyNumberFormat="1" applyFont="1" applyFill="1" applyBorder="1" applyAlignment="1" applyProtection="1">
      <alignment horizontal="right" vertical="center"/>
      <protection locked="0"/>
    </xf>
    <xf numFmtId="0" fontId="109" fillId="6" borderId="12" xfId="0" applyFont="1" applyFill="1" applyBorder="1" applyAlignment="1">
      <alignment horizontal="center" vertical="center" wrapText="1"/>
    </xf>
    <xf numFmtId="3" fontId="23" fillId="6" borderId="669" xfId="8" applyNumberFormat="1" applyFont="1" applyFill="1" applyBorder="1" applyAlignment="1" applyProtection="1">
      <alignment horizontal="right" vertical="center"/>
      <protection locked="0"/>
    </xf>
    <xf numFmtId="49" fontId="23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14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8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26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4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4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8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86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687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6" xfId="0" applyFont="1" applyFill="1" applyBorder="1" applyAlignment="1">
      <alignment vertical="center" wrapText="1"/>
    </xf>
    <xf numFmtId="49" fontId="23" fillId="16" borderId="641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12" xfId="0" applyFont="1" applyFill="1" applyBorder="1" applyAlignment="1">
      <alignment vertical="center" wrapText="1"/>
    </xf>
    <xf numFmtId="0" fontId="23" fillId="0" borderId="12" xfId="8" applyNumberFormat="1" applyFont="1" applyFill="1" applyBorder="1" applyAlignment="1" applyProtection="1">
      <alignment horizontal="left" vertical="center"/>
      <protection locked="0"/>
    </xf>
    <xf numFmtId="49" fontId="23" fillId="16" borderId="688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451" xfId="8" applyNumberFormat="1" applyFont="1" applyFill="1" applyBorder="1" applyAlignment="1" applyProtection="1">
      <alignment horizontal="right" vertical="center"/>
      <protection locked="0"/>
    </xf>
    <xf numFmtId="3" fontId="12" fillId="6" borderId="271" xfId="8" applyNumberFormat="1" applyFont="1" applyFill="1" applyBorder="1" applyAlignment="1" applyProtection="1">
      <alignment horizontal="right" vertical="center"/>
      <protection locked="0"/>
    </xf>
    <xf numFmtId="0" fontId="109" fillId="6" borderId="3" xfId="0" applyFont="1" applyFill="1" applyBorder="1" applyAlignment="1">
      <alignment vertical="center" wrapText="1"/>
    </xf>
    <xf numFmtId="49" fontId="23" fillId="16" borderId="68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4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425" xfId="8" applyNumberFormat="1" applyFont="1" applyFill="1" applyBorder="1" applyAlignment="1" applyProtection="1">
      <alignment vertical="center"/>
      <protection locked="0"/>
    </xf>
    <xf numFmtId="49" fontId="6" fillId="16" borderId="69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4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669" xfId="8" applyNumberFormat="1" applyFont="1" applyFill="1" applyBorder="1" applyAlignment="1" applyProtection="1">
      <alignment vertical="center"/>
      <protection locked="0"/>
    </xf>
    <xf numFmtId="3" fontId="6" fillId="0" borderId="669" xfId="8" applyNumberFormat="1" applyFont="1" applyFill="1" applyBorder="1" applyAlignment="1" applyProtection="1">
      <alignment horizontal="right" vertical="center"/>
      <protection locked="0"/>
    </xf>
    <xf numFmtId="49" fontId="6" fillId="16" borderId="677" xfId="8" applyNumberFormat="1" applyFont="1" applyFill="1" applyBorder="1" applyAlignment="1" applyProtection="1">
      <alignment horizontal="left" vertical="center" wrapText="1"/>
      <protection locked="0"/>
    </xf>
    <xf numFmtId="3" fontId="11" fillId="0" borderId="669" xfId="8" applyNumberFormat="1" applyFont="1" applyFill="1" applyBorder="1" applyAlignment="1" applyProtection="1">
      <alignment horizontal="right" vertical="center"/>
      <protection locked="0"/>
    </xf>
    <xf numFmtId="3" fontId="6" fillId="6" borderId="669" xfId="8" applyNumberFormat="1" applyFont="1" applyFill="1" applyBorder="1" applyAlignment="1" applyProtection="1">
      <alignment horizontal="right" vertical="center"/>
      <protection locked="0"/>
    </xf>
    <xf numFmtId="49" fontId="6" fillId="19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669" xfId="8" applyNumberFormat="1" applyFont="1" applyFill="1" applyBorder="1" applyAlignment="1" applyProtection="1">
      <alignment horizontal="center" vertical="center" wrapText="1"/>
      <protection locked="0"/>
    </xf>
    <xf numFmtId="49" fontId="6" fillId="19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460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669" xfId="8" applyNumberFormat="1" applyFont="1" applyFill="1" applyBorder="1" applyAlignment="1" applyProtection="1">
      <alignment horizontal="right" vertical="center"/>
      <protection locked="0"/>
    </xf>
    <xf numFmtId="49" fontId="6" fillId="0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91" xfId="8" applyNumberFormat="1" applyFont="1" applyFill="1" applyBorder="1" applyAlignment="1" applyProtection="1">
      <alignment horizontal="center" vertical="center" wrapText="1"/>
      <protection locked="0"/>
    </xf>
    <xf numFmtId="10" fontId="6" fillId="0" borderId="692" xfId="1" applyNumberFormat="1" applyFont="1" applyFill="1" applyBorder="1" applyAlignment="1" applyProtection="1">
      <alignment horizontal="right" vertical="center"/>
      <protection locked="0"/>
    </xf>
    <xf numFmtId="3" fontId="6" fillId="0" borderId="693" xfId="8" applyNumberFormat="1" applyFont="1" applyFill="1" applyBorder="1" applyAlignment="1" applyProtection="1">
      <alignment horizontal="right" vertical="center"/>
      <protection locked="0"/>
    </xf>
    <xf numFmtId="49" fontId="6" fillId="16" borderId="694" xfId="8" applyNumberFormat="1" applyFont="1" applyFill="1" applyBorder="1" applyAlignment="1" applyProtection="1">
      <alignment horizontal="left" vertical="center" wrapText="1"/>
      <protection locked="0"/>
    </xf>
    <xf numFmtId="10" fontId="33" fillId="0" borderId="692" xfId="1" applyNumberFormat="1" applyFont="1" applyFill="1" applyBorder="1" applyAlignment="1" applyProtection="1">
      <alignment horizontal="right" vertical="center"/>
      <protection locked="0"/>
    </xf>
    <xf numFmtId="3" fontId="33" fillId="0" borderId="693" xfId="8" applyNumberFormat="1" applyFont="1" applyFill="1" applyBorder="1" applyAlignment="1" applyProtection="1">
      <alignment horizontal="right" vertical="center"/>
      <protection locked="0"/>
    </xf>
    <xf numFmtId="3" fontId="31" fillId="12" borderId="3" xfId="8" applyNumberFormat="1" applyFont="1" applyFill="1" applyBorder="1" applyAlignment="1" applyProtection="1">
      <alignment horizontal="right" vertical="center"/>
      <protection locked="0"/>
    </xf>
    <xf numFmtId="3" fontId="31" fillId="12" borderId="4" xfId="8" applyNumberFormat="1" applyFont="1" applyFill="1" applyBorder="1" applyAlignment="1" applyProtection="1">
      <alignment horizontal="right" vertical="center"/>
      <protection locked="0"/>
    </xf>
    <xf numFmtId="10" fontId="27" fillId="0" borderId="696" xfId="1" applyNumberFormat="1" applyFont="1" applyFill="1" applyBorder="1" applyAlignment="1" applyProtection="1">
      <alignment horizontal="right" vertical="center"/>
      <protection locked="0"/>
    </xf>
    <xf numFmtId="3" fontId="27" fillId="0" borderId="693" xfId="8" applyNumberFormat="1" applyFont="1" applyFill="1" applyBorder="1" applyAlignment="1" applyProtection="1">
      <alignment horizontal="right" vertical="center"/>
      <protection locked="0"/>
    </xf>
    <xf numFmtId="3" fontId="27" fillId="0" borderId="673" xfId="8" applyNumberFormat="1" applyFont="1" applyFill="1" applyBorder="1" applyAlignment="1" applyProtection="1">
      <alignment horizontal="right" vertical="center"/>
      <protection locked="0"/>
    </xf>
    <xf numFmtId="49" fontId="27" fillId="16" borderId="638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9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673" xfId="8" applyNumberFormat="1" applyFont="1" applyFill="1" applyBorder="1" applyAlignment="1" applyProtection="1">
      <alignment horizontal="right" vertical="center"/>
      <protection locked="0"/>
    </xf>
    <xf numFmtId="49" fontId="6" fillId="19" borderId="629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636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33" fillId="19" borderId="12" xfId="8" applyNumberFormat="1" applyFont="1" applyFill="1" applyBorder="1" applyAlignment="1" applyProtection="1">
      <alignment horizontal="center" vertical="center" wrapText="1"/>
      <protection locked="0"/>
    </xf>
    <xf numFmtId="3" fontId="11" fillId="6" borderId="451" xfId="8" applyNumberFormat="1" applyFont="1" applyFill="1" applyBorder="1" applyAlignment="1" applyProtection="1">
      <alignment horizontal="right" vertical="center"/>
      <protection locked="0"/>
    </xf>
    <xf numFmtId="3" fontId="11" fillId="6" borderId="669" xfId="8" applyNumberFormat="1" applyFont="1" applyFill="1" applyBorder="1" applyAlignment="1" applyProtection="1">
      <alignment horizontal="right" vertical="center"/>
      <protection locked="0"/>
    </xf>
    <xf numFmtId="49" fontId="31" fillId="19" borderId="3" xfId="8" applyNumberFormat="1" applyFont="1" applyFill="1" applyBorder="1" applyAlignment="1" applyProtection="1">
      <alignment horizontal="center" vertical="center" wrapText="1"/>
      <protection locked="0"/>
    </xf>
    <xf numFmtId="3" fontId="11" fillId="12" borderId="2" xfId="8" applyNumberFormat="1" applyFont="1" applyFill="1" applyBorder="1" applyAlignment="1" applyProtection="1">
      <alignment horizontal="right" vertical="center"/>
      <protection locked="0"/>
    </xf>
    <xf numFmtId="3" fontId="11" fillId="12" borderId="10" xfId="8" applyNumberFormat="1" applyFont="1" applyFill="1" applyBorder="1" applyAlignment="1" applyProtection="1">
      <alignment horizontal="right" vertical="center"/>
      <protection locked="0"/>
    </xf>
    <xf numFmtId="10" fontId="23" fillId="0" borderId="696" xfId="1" applyNumberFormat="1" applyFont="1" applyFill="1" applyBorder="1" applyAlignment="1" applyProtection="1">
      <alignment horizontal="right" vertical="center"/>
      <protection locked="0"/>
    </xf>
    <xf numFmtId="49" fontId="23" fillId="16" borderId="69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0" xfId="8" applyNumberFormat="1" applyFont="1" applyFill="1" applyBorder="1" applyAlignment="1" applyProtection="1">
      <alignment horizontal="center" vertical="center" wrapText="1"/>
      <protection locked="0"/>
    </xf>
    <xf numFmtId="3" fontId="19" fillId="6" borderId="669" xfId="8" applyNumberFormat="1" applyFont="1" applyFill="1" applyBorder="1" applyAlignment="1" applyProtection="1">
      <alignment horizontal="right" vertical="center"/>
      <protection locked="0"/>
    </xf>
    <xf numFmtId="49" fontId="19" fillId="0" borderId="701" xfId="8" applyNumberFormat="1" applyFont="1" applyFill="1" applyBorder="1" applyAlignment="1" applyProtection="1">
      <alignment horizontal="left" vertical="center" wrapText="1"/>
      <protection locked="0"/>
    </xf>
    <xf numFmtId="49" fontId="19" fillId="0" borderId="62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0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36" xfId="8" applyNumberFormat="1" applyFont="1" applyFill="1" applyBorder="1" applyAlignment="1" applyProtection="1">
      <alignment horizontal="center" vertical="center" wrapText="1"/>
      <protection locked="0"/>
    </xf>
    <xf numFmtId="3" fontId="12" fillId="6" borderId="27" xfId="8" applyNumberFormat="1" applyFont="1" applyFill="1" applyBorder="1" applyAlignment="1" applyProtection="1">
      <alignment horizontal="right" vertical="center"/>
      <protection locked="0"/>
    </xf>
    <xf numFmtId="49" fontId="19" fillId="17" borderId="127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12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04" xfId="8" applyNumberFormat="1" applyFont="1" applyFill="1" applyBorder="1" applyAlignment="1" applyProtection="1">
      <alignment horizontal="center" vertical="center" wrapText="1"/>
      <protection locked="0"/>
    </xf>
    <xf numFmtId="0" fontId="27" fillId="0" borderId="666" xfId="8" applyNumberFormat="1" applyFont="1" applyFill="1" applyBorder="1" applyAlignment="1" applyProtection="1">
      <alignment horizontal="left" vertical="center"/>
      <protection locked="0"/>
    </xf>
    <xf numFmtId="3" fontId="27" fillId="0" borderId="617" xfId="8" applyNumberFormat="1" applyFont="1" applyFill="1" applyBorder="1" applyAlignment="1" applyProtection="1">
      <alignment horizontal="right" vertical="center"/>
      <protection locked="0"/>
    </xf>
    <xf numFmtId="3" fontId="27" fillId="0" borderId="669" xfId="8" applyNumberFormat="1" applyFont="1" applyFill="1" applyBorder="1" applyAlignment="1" applyProtection="1">
      <alignment horizontal="right" vertical="center"/>
      <protection locked="0"/>
    </xf>
    <xf numFmtId="0" fontId="28" fillId="0" borderId="666" xfId="8" applyNumberFormat="1" applyFont="1" applyFill="1" applyBorder="1" applyAlignment="1" applyProtection="1">
      <alignment horizontal="left" vertical="center"/>
      <protection locked="0"/>
    </xf>
    <xf numFmtId="0" fontId="28" fillId="0" borderId="0" xfId="8" applyNumberFormat="1" applyFont="1" applyFill="1" applyBorder="1" applyAlignment="1" applyProtection="1">
      <alignment horizontal="left" vertical="center"/>
      <protection locked="0"/>
    </xf>
    <xf numFmtId="0" fontId="19" fillId="0" borderId="0" xfId="8" applyNumberFormat="1" applyFont="1" applyFill="1" applyBorder="1" applyAlignment="1" applyProtection="1">
      <alignment horizontal="left" vertical="center"/>
      <protection locked="0"/>
    </xf>
    <xf numFmtId="10" fontId="27" fillId="0" borderId="518" xfId="1" applyNumberFormat="1" applyFont="1" applyFill="1" applyBorder="1" applyAlignment="1" applyProtection="1">
      <alignment horizontal="right" vertical="center"/>
      <protection locked="0"/>
    </xf>
    <xf numFmtId="3" fontId="28" fillId="0" borderId="14" xfId="8" applyNumberFormat="1" applyFont="1" applyFill="1" applyBorder="1" applyAlignment="1" applyProtection="1">
      <alignment horizontal="right" vertical="center"/>
      <protection locked="0"/>
    </xf>
    <xf numFmtId="3" fontId="28" fillId="0" borderId="368" xfId="8" applyNumberFormat="1" applyFont="1" applyFill="1" applyBorder="1" applyAlignment="1" applyProtection="1">
      <alignment horizontal="right" vertical="center"/>
      <protection locked="0"/>
    </xf>
    <xf numFmtId="49" fontId="28" fillId="12" borderId="78" xfId="8" applyNumberFormat="1" applyFont="1" applyFill="1" applyBorder="1" applyAlignment="1" applyProtection="1">
      <alignment horizontal="left" vertical="center" wrapText="1"/>
      <protection locked="0"/>
    </xf>
    <xf numFmtId="49" fontId="28" fillId="12" borderId="78" xfId="8" applyNumberFormat="1" applyFont="1" applyFill="1" applyBorder="1" applyAlignment="1" applyProtection="1">
      <alignment horizontal="center" vertical="center" wrapText="1"/>
      <protection locked="0"/>
    </xf>
    <xf numFmtId="49" fontId="28" fillId="12" borderId="679" xfId="8" applyNumberFormat="1" applyFont="1" applyFill="1" applyBorder="1" applyAlignment="1" applyProtection="1">
      <alignment horizontal="center" vertical="center" wrapText="1"/>
      <protection locked="0"/>
    </xf>
    <xf numFmtId="49" fontId="28" fillId="0" borderId="28" xfId="8" applyNumberFormat="1" applyFont="1" applyFill="1" applyBorder="1" applyAlignment="1" applyProtection="1">
      <alignment horizontal="center" vertical="center" wrapText="1"/>
      <protection locked="0"/>
    </xf>
    <xf numFmtId="3" fontId="28" fillId="6" borderId="669" xfId="8" applyNumberFormat="1" applyFont="1" applyFill="1" applyBorder="1" applyAlignment="1" applyProtection="1">
      <alignment horizontal="right" vertical="center"/>
      <protection locked="0"/>
    </xf>
    <xf numFmtId="49" fontId="27" fillId="0" borderId="66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664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4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7" xfId="9" applyNumberFormat="1" applyFont="1" applyBorder="1" applyAlignment="1">
      <alignment horizontal="right" vertical="center"/>
    </xf>
    <xf numFmtId="49" fontId="6" fillId="16" borderId="518" xfId="8" applyNumberFormat="1" applyFont="1" applyFill="1" applyBorder="1" applyAlignment="1" applyProtection="1">
      <alignment horizontal="left" vertical="center" wrapText="1"/>
      <protection locked="0"/>
    </xf>
    <xf numFmtId="3" fontId="20" fillId="0" borderId="669" xfId="9" applyNumberFormat="1" applyFont="1" applyBorder="1" applyAlignment="1">
      <alignment horizontal="right" vertical="center"/>
    </xf>
    <xf numFmtId="49" fontId="6" fillId="16" borderId="70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11" xfId="8" applyNumberFormat="1" applyFont="1" applyFill="1" applyBorder="1" applyAlignment="1" applyProtection="1">
      <alignment horizontal="center" vertical="center" wrapText="1"/>
      <protection locked="0"/>
    </xf>
    <xf numFmtId="3" fontId="33" fillId="0" borderId="27" xfId="8" applyNumberFormat="1" applyFont="1" applyFill="1" applyBorder="1" applyAlignment="1" applyProtection="1">
      <alignment horizontal="right" vertical="center"/>
      <protection locked="0"/>
    </xf>
    <xf numFmtId="3" fontId="33" fillId="0" borderId="4" xfId="8" applyNumberFormat="1" applyFont="1" applyFill="1" applyBorder="1" applyAlignment="1" applyProtection="1">
      <alignment horizontal="right" vertical="center"/>
      <protection locked="0"/>
    </xf>
    <xf numFmtId="3" fontId="33" fillId="0" borderId="271" xfId="8" applyNumberFormat="1" applyFont="1" applyFill="1" applyBorder="1" applyAlignment="1" applyProtection="1">
      <alignment horizontal="right" vertical="center"/>
      <protection locked="0"/>
    </xf>
    <xf numFmtId="0" fontId="1" fillId="0" borderId="425" xfId="0" applyFont="1" applyBorder="1" applyAlignment="1">
      <alignment vertical="center"/>
    </xf>
    <xf numFmtId="0" fontId="1" fillId="0" borderId="449" xfId="0" applyFont="1" applyBorder="1" applyAlignment="1">
      <alignment vertical="center"/>
    </xf>
    <xf numFmtId="49" fontId="6" fillId="16" borderId="425" xfId="8" applyNumberFormat="1" applyFont="1" applyFill="1" applyBorder="1" applyAlignment="1" applyProtection="1">
      <alignment vertical="center" wrapText="1"/>
      <protection locked="0"/>
    </xf>
    <xf numFmtId="10" fontId="6" fillId="0" borderId="518" xfId="1" applyNumberFormat="1" applyFont="1" applyFill="1" applyBorder="1" applyAlignment="1" applyProtection="1">
      <alignment horizontal="right" vertical="center"/>
      <protection locked="0"/>
    </xf>
    <xf numFmtId="49" fontId="6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6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2" xfId="8" applyNumberFormat="1" applyFont="1" applyFill="1" applyBorder="1" applyAlignment="1" applyProtection="1">
      <alignment vertical="center" wrapText="1"/>
      <protection locked="0"/>
    </xf>
    <xf numFmtId="49" fontId="6" fillId="16" borderId="621" xfId="8" applyNumberFormat="1" applyFont="1" applyFill="1" applyBorder="1" applyAlignment="1" applyProtection="1">
      <alignment vertical="center" wrapText="1"/>
      <protection locked="0"/>
    </xf>
    <xf numFmtId="49" fontId="6" fillId="16" borderId="669" xfId="8" applyNumberFormat="1" applyFont="1" applyFill="1" applyBorder="1" applyAlignment="1" applyProtection="1">
      <alignment vertical="center" wrapText="1"/>
      <protection locked="0"/>
    </xf>
    <xf numFmtId="2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77" xfId="8" applyNumberFormat="1" applyFont="1" applyFill="1" applyBorder="1" applyAlignment="1" applyProtection="1">
      <alignment vertical="center" wrapText="1"/>
      <protection locked="0"/>
    </xf>
    <xf numFmtId="49" fontId="6" fillId="16" borderId="629" xfId="8" applyNumberFormat="1" applyFont="1" applyFill="1" applyBorder="1" applyAlignment="1" applyProtection="1">
      <alignment vertical="center" wrapText="1"/>
      <protection locked="0"/>
    </xf>
    <xf numFmtId="49" fontId="6" fillId="16" borderId="713" xfId="8" applyNumberFormat="1" applyFont="1" applyFill="1" applyBorder="1" applyAlignment="1" applyProtection="1">
      <alignment horizontal="left" vertical="center" wrapText="1"/>
      <protection locked="0"/>
    </xf>
    <xf numFmtId="3" fontId="33" fillId="0" borderId="712" xfId="8" applyNumberFormat="1" applyFont="1" applyFill="1" applyBorder="1" applyAlignment="1" applyProtection="1">
      <alignment horizontal="right" vertical="center"/>
      <protection locked="0"/>
    </xf>
    <xf numFmtId="10" fontId="6" fillId="0" borderId="714" xfId="1" applyNumberFormat="1" applyFont="1" applyFill="1" applyBorder="1" applyAlignment="1" applyProtection="1">
      <alignment horizontal="right" vertical="center"/>
      <protection locked="0"/>
    </xf>
    <xf numFmtId="3" fontId="6" fillId="0" borderId="712" xfId="8" applyNumberFormat="1" applyFont="1" applyFill="1" applyBorder="1" applyAlignment="1" applyProtection="1">
      <alignment horizontal="right" vertical="center"/>
      <protection locked="0"/>
    </xf>
    <xf numFmtId="10" fontId="11" fillId="0" borderId="518" xfId="1" applyNumberFormat="1" applyFont="1" applyFill="1" applyBorder="1" applyAlignment="1" applyProtection="1">
      <alignment horizontal="right" vertical="center"/>
      <protection locked="0"/>
    </xf>
    <xf numFmtId="3" fontId="26" fillId="0" borderId="669" xfId="8" applyNumberFormat="1" applyFont="1" applyFill="1" applyBorder="1" applyAlignment="1" applyProtection="1">
      <alignment horizontal="right" vertical="center"/>
      <protection locked="0"/>
    </xf>
    <xf numFmtId="49" fontId="23" fillId="0" borderId="67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712" xfId="8" applyNumberFormat="1" applyFont="1" applyFill="1" applyBorder="1" applyAlignment="1" applyProtection="1">
      <alignment horizontal="right" vertical="center"/>
      <protection locked="0"/>
    </xf>
    <xf numFmtId="3" fontId="20" fillId="0" borderId="712" xfId="8" applyNumberFormat="1" applyFont="1" applyFill="1" applyBorder="1" applyAlignment="1" applyProtection="1">
      <alignment horizontal="right" vertical="center"/>
      <protection locked="0"/>
    </xf>
    <xf numFmtId="10" fontId="12" fillId="0" borderId="714" xfId="1" applyNumberFormat="1" applyFont="1" applyFill="1" applyBorder="1" applyAlignment="1" applyProtection="1">
      <alignment horizontal="right" vertical="center"/>
      <protection locked="0"/>
    </xf>
    <xf numFmtId="3" fontId="12" fillId="0" borderId="712" xfId="8" applyNumberFormat="1" applyFont="1" applyFill="1" applyBorder="1" applyAlignment="1" applyProtection="1">
      <alignment horizontal="right" vertical="center"/>
      <protection locked="0"/>
    </xf>
    <xf numFmtId="49" fontId="23" fillId="16" borderId="71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17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60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17" xfId="8" applyNumberFormat="1" applyFont="1" applyFill="1" applyBorder="1" applyAlignment="1" applyProtection="1">
      <alignment horizontal="right" vertical="center" wrapText="1"/>
      <protection locked="0"/>
    </xf>
    <xf numFmtId="3" fontId="23" fillId="0" borderId="718" xfId="8" applyNumberFormat="1" applyFont="1" applyFill="1" applyBorder="1" applyAlignment="1" applyProtection="1">
      <alignment horizontal="right" vertical="center" wrapText="1"/>
      <protection locked="0"/>
    </xf>
    <xf numFmtId="49" fontId="12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3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718" xfId="8" applyNumberFormat="1" applyFont="1" applyFill="1" applyBorder="1" applyAlignment="1" applyProtection="1">
      <alignment horizontal="right" vertical="center"/>
      <protection locked="0"/>
    </xf>
    <xf numFmtId="49" fontId="23" fillId="16" borderId="72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2" xfId="8" applyNumberFormat="1" applyFont="1" applyFill="1" applyBorder="1" applyAlignment="1" applyProtection="1">
      <alignment horizontal="center" vertical="center" wrapText="1"/>
      <protection locked="0"/>
    </xf>
    <xf numFmtId="49" fontId="28" fillId="19" borderId="12" xfId="8" applyNumberFormat="1" applyFont="1" applyFill="1" applyBorder="1" applyAlignment="1" applyProtection="1">
      <alignment vertical="center" wrapText="1"/>
      <protection locked="0"/>
    </xf>
    <xf numFmtId="10" fontId="23" fillId="0" borderId="518" xfId="1" applyNumberFormat="1" applyFont="1" applyFill="1" applyBorder="1" applyAlignment="1" applyProtection="1">
      <alignment horizontal="right" vertical="center"/>
      <protection locked="0"/>
    </xf>
    <xf numFmtId="49" fontId="23" fillId="0" borderId="72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4" xfId="8" applyNumberFormat="1" applyFont="1" applyFill="1" applyBorder="1" applyAlignment="1" applyProtection="1">
      <alignment horizontal="left" vertical="center" wrapText="1"/>
      <protection locked="0"/>
    </xf>
    <xf numFmtId="49" fontId="28" fillId="19" borderId="6" xfId="8" applyNumberFormat="1" applyFont="1" applyFill="1" applyBorder="1" applyAlignment="1" applyProtection="1">
      <alignment vertical="center" wrapText="1"/>
      <protection locked="0"/>
    </xf>
    <xf numFmtId="49" fontId="23" fillId="0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8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23" xfId="0" applyFont="1" applyBorder="1" applyAlignment="1">
      <alignment vertical="center"/>
    </xf>
    <xf numFmtId="49" fontId="23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3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9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8" xfId="8" applyNumberFormat="1" applyFont="1" applyFill="1" applyBorder="1" applyAlignment="1" applyProtection="1">
      <alignment horizontal="center" vertical="center" wrapText="1"/>
      <protection locked="0"/>
    </xf>
    <xf numFmtId="3" fontId="27" fillId="0" borderId="712" xfId="8" applyNumberFormat="1" applyFont="1" applyFill="1" applyBorder="1" applyAlignment="1" applyProtection="1">
      <alignment horizontal="right" vertical="center"/>
      <protection locked="0"/>
    </xf>
    <xf numFmtId="49" fontId="27" fillId="16" borderId="70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1" xfId="8" applyNumberFormat="1" applyFont="1" applyFill="1" applyBorder="1" applyAlignment="1" applyProtection="1">
      <alignment horizontal="left" vertical="center" wrapText="1"/>
      <protection locked="0"/>
    </xf>
    <xf numFmtId="49" fontId="19" fillId="19" borderId="12" xfId="8" applyNumberFormat="1" applyFont="1" applyFill="1" applyBorder="1" applyAlignment="1" applyProtection="1">
      <alignment vertical="center" wrapText="1"/>
      <protection locked="0"/>
    </xf>
    <xf numFmtId="49" fontId="23" fillId="16" borderId="10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5" xfId="8" applyNumberFormat="1" applyFont="1" applyFill="1" applyBorder="1" applyAlignment="1" applyProtection="1">
      <alignment horizontal="center" vertical="center" wrapText="1"/>
      <protection locked="0"/>
    </xf>
    <xf numFmtId="49" fontId="19" fillId="19" borderId="3" xfId="8" applyNumberFormat="1" applyFont="1" applyFill="1" applyBorder="1" applyAlignment="1" applyProtection="1">
      <alignment vertical="center" wrapText="1"/>
      <protection locked="0"/>
    </xf>
    <xf numFmtId="49" fontId="23" fillId="16" borderId="736" xfId="8" applyNumberFormat="1" applyFont="1" applyFill="1" applyBorder="1" applyAlignment="1" applyProtection="1">
      <alignment horizontal="center" vertical="center" wrapText="1"/>
      <protection locked="0"/>
    </xf>
    <xf numFmtId="0" fontId="65" fillId="6" borderId="12" xfId="0" applyFont="1" applyFill="1" applyBorder="1" applyAlignment="1">
      <alignment vertical="center" wrapText="1"/>
    </xf>
    <xf numFmtId="3" fontId="23" fillId="0" borderId="737" xfId="8" applyNumberFormat="1" applyFont="1" applyFill="1" applyBorder="1" applyAlignment="1" applyProtection="1">
      <alignment horizontal="right" vertical="center"/>
      <protection locked="0"/>
    </xf>
    <xf numFmtId="0" fontId="109" fillId="0" borderId="28" xfId="0" applyFont="1" applyBorder="1" applyAlignment="1">
      <alignment vertical="center"/>
    </xf>
    <xf numFmtId="49" fontId="27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38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73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3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4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2" xfId="8" applyNumberFormat="1" applyFont="1" applyFill="1" applyBorder="1" applyAlignment="1" applyProtection="1">
      <alignment vertical="center" wrapText="1"/>
      <protection locked="0"/>
    </xf>
    <xf numFmtId="49" fontId="23" fillId="16" borderId="714" xfId="8" applyNumberFormat="1" applyFont="1" applyFill="1" applyBorder="1" applyAlignment="1" applyProtection="1">
      <alignment vertical="center" wrapText="1"/>
      <protection locked="0"/>
    </xf>
    <xf numFmtId="49" fontId="23" fillId="16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4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42" xfId="8" applyNumberFormat="1" applyFont="1" applyFill="1" applyBorder="1" applyAlignment="1" applyProtection="1">
      <alignment horizontal="left" vertical="center" wrapText="1"/>
      <protection locked="0"/>
    </xf>
    <xf numFmtId="0" fontId="65" fillId="6" borderId="3" xfId="0" applyFont="1" applyFill="1" applyBorder="1" applyAlignment="1">
      <alignment vertical="center" wrapText="1"/>
    </xf>
    <xf numFmtId="3" fontId="33" fillId="0" borderId="425" xfId="8" applyNumberFormat="1" applyFont="1" applyFill="1" applyBorder="1" applyAlignment="1" applyProtection="1">
      <alignment horizontal="right" vertical="center"/>
      <protection locked="0"/>
    </xf>
    <xf numFmtId="49" fontId="33" fillId="16" borderId="68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7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44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4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4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17" xfId="8" applyNumberFormat="1" applyFont="1" applyFill="1" applyBorder="1" applyAlignment="1" applyProtection="1">
      <alignment horizontal="center" vertical="center" wrapText="1"/>
      <protection locked="0"/>
    </xf>
    <xf numFmtId="3" fontId="6" fillId="16" borderId="425" xfId="8" applyNumberFormat="1" applyFont="1" applyFill="1" applyBorder="1" applyAlignment="1" applyProtection="1">
      <alignment horizontal="right" vertical="center" wrapText="1"/>
      <protection locked="0"/>
    </xf>
    <xf numFmtId="3" fontId="6" fillId="16" borderId="669" xfId="8" applyNumberFormat="1" applyFont="1" applyFill="1" applyBorder="1" applyAlignment="1" applyProtection="1">
      <alignment horizontal="right" vertical="center" wrapText="1"/>
      <protection locked="0"/>
    </xf>
    <xf numFmtId="49" fontId="6" fillId="0" borderId="73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35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734" xfId="0" applyFont="1" applyBorder="1" applyAlignment="1">
      <alignment vertical="center" wrapText="1"/>
    </xf>
    <xf numFmtId="49" fontId="6" fillId="0" borderId="735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33" xfId="8" applyNumberFormat="1" applyFont="1" applyFill="1" applyBorder="1" applyAlignment="1" applyProtection="1">
      <alignment horizontal="center" vertical="center" wrapText="1"/>
      <protection locked="0"/>
    </xf>
    <xf numFmtId="3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3" fontId="6" fillId="16" borderId="14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69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6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12" xfId="8" applyNumberFormat="1" applyFont="1" applyFill="1" applyBorder="1" applyAlignment="1" applyProtection="1">
      <alignment horizontal="right" vertical="center" wrapText="1"/>
      <protection locked="0"/>
    </xf>
    <xf numFmtId="49" fontId="6" fillId="16" borderId="66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29" xfId="8" applyNumberFormat="1" applyFont="1" applyFill="1" applyBorder="1" applyAlignment="1" applyProtection="1">
      <alignment horizontal="center" vertical="center" wrapText="1"/>
      <protection locked="0"/>
    </xf>
    <xf numFmtId="2" fontId="6" fillId="0" borderId="706" xfId="8" applyNumberFormat="1" applyFont="1" applyFill="1" applyBorder="1" applyAlignment="1" applyProtection="1">
      <alignment horizontal="left" vertical="center" wrapText="1"/>
      <protection locked="0"/>
    </xf>
    <xf numFmtId="3" fontId="6" fillId="0" borderId="660" xfId="8" applyNumberFormat="1" applyFont="1" applyFill="1" applyBorder="1" applyAlignment="1" applyProtection="1">
      <alignment horizontal="right" vertical="center"/>
      <protection locked="0"/>
    </xf>
    <xf numFmtId="49" fontId="6" fillId="16" borderId="748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2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3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1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10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45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4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50" xfId="8" applyNumberFormat="1" applyFont="1" applyFill="1" applyBorder="1" applyAlignment="1" applyProtection="1">
      <alignment vertical="center" wrapText="1"/>
      <protection locked="0"/>
    </xf>
    <xf numFmtId="49" fontId="23" fillId="16" borderId="75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40" xfId="8" applyNumberFormat="1" applyFont="1" applyFill="1" applyBorder="1" applyAlignment="1" applyProtection="1">
      <alignment horizontal="center" vertical="center" wrapText="1"/>
      <protection locked="0"/>
    </xf>
    <xf numFmtId="10" fontId="20" fillId="0" borderId="518" xfId="1" applyNumberFormat="1" applyFont="1" applyFill="1" applyBorder="1" applyAlignment="1" applyProtection="1">
      <alignment horizontal="right" vertical="center"/>
      <protection locked="0"/>
    </xf>
    <xf numFmtId="0" fontId="23" fillId="0" borderId="729" xfId="0" applyFont="1" applyBorder="1" applyAlignment="1">
      <alignment vertical="center" wrapText="1"/>
    </xf>
    <xf numFmtId="0" fontId="23" fillId="0" borderId="734" xfId="0" applyFont="1" applyBorder="1" applyAlignment="1">
      <alignment vertical="center" wrapText="1"/>
    </xf>
    <xf numFmtId="49" fontId="23" fillId="0" borderId="735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644" xfId="0" applyFont="1" applyBorder="1" applyAlignment="1">
      <alignment vertical="center" wrapText="1"/>
    </xf>
    <xf numFmtId="49" fontId="27" fillId="16" borderId="62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28" xfId="8" applyNumberFormat="1" applyFont="1" applyFill="1" applyBorder="1" applyAlignment="1" applyProtection="1">
      <alignment horizontal="center" vertical="center" wrapText="1"/>
      <protection locked="0"/>
    </xf>
    <xf numFmtId="49" fontId="28" fillId="17" borderId="724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24" xfId="8" applyNumberFormat="1" applyFont="1" applyFill="1" applyBorder="1" applyAlignment="1" applyProtection="1">
      <alignment horizontal="left" vertical="center" wrapText="1"/>
      <protection locked="0"/>
    </xf>
    <xf numFmtId="0" fontId="109" fillId="6" borderId="3" xfId="0" applyFont="1" applyFill="1" applyBorder="1" applyAlignment="1">
      <alignment horizontal="center" vertical="center" wrapText="1"/>
    </xf>
    <xf numFmtId="49" fontId="23" fillId="0" borderId="751" xfId="8" applyNumberFormat="1" applyFont="1" applyFill="1" applyBorder="1" applyAlignment="1" applyProtection="1">
      <alignment horizontal="center" vertical="center" wrapText="1"/>
      <protection locked="0"/>
    </xf>
    <xf numFmtId="2" fontId="23" fillId="0" borderId="752" xfId="8" applyNumberFormat="1" applyFont="1" applyFill="1" applyBorder="1" applyAlignment="1" applyProtection="1">
      <alignment horizontal="left" vertical="center" wrapText="1"/>
      <protection locked="0"/>
    </xf>
    <xf numFmtId="2" fontId="23" fillId="0" borderId="70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98" xfId="8" applyNumberFormat="1" applyFont="1" applyFill="1" applyBorder="1" applyAlignment="1" applyProtection="1">
      <alignment horizontal="center" vertical="center" wrapText="1"/>
      <protection locked="0"/>
    </xf>
    <xf numFmtId="0" fontId="23" fillId="0" borderId="732" xfId="0" applyFont="1" applyBorder="1" applyAlignment="1">
      <alignment horizontal="left" vertical="center" wrapText="1"/>
    </xf>
    <xf numFmtId="49" fontId="23" fillId="16" borderId="753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Alignment="1">
      <alignment vertical="center"/>
    </xf>
    <xf numFmtId="49" fontId="23" fillId="16" borderId="737" xfId="8" applyNumberFormat="1" applyFont="1" applyFill="1" applyBorder="1" applyAlignment="1" applyProtection="1">
      <alignment horizontal="left" vertical="center" wrapText="1"/>
      <protection locked="0"/>
    </xf>
    <xf numFmtId="3" fontId="23" fillId="16" borderId="669" xfId="8" applyNumberFormat="1" applyFont="1" applyFill="1" applyBorder="1" applyAlignment="1" applyProtection="1">
      <alignment horizontal="right" vertical="center" wrapText="1"/>
      <protection locked="0"/>
    </xf>
    <xf numFmtId="3" fontId="23" fillId="16" borderId="28" xfId="8" applyNumberFormat="1" applyFont="1" applyFill="1" applyBorder="1" applyAlignment="1" applyProtection="1">
      <alignment horizontal="right" vertical="center" wrapText="1"/>
      <protection locked="0"/>
    </xf>
    <xf numFmtId="49" fontId="23" fillId="16" borderId="669" xfId="8" applyNumberFormat="1" applyFont="1" applyFill="1" applyBorder="1" applyAlignment="1" applyProtection="1">
      <alignment vertical="center" wrapText="1"/>
      <protection locked="0"/>
    </xf>
    <xf numFmtId="49" fontId="19" fillId="17" borderId="755" xfId="8" applyNumberFormat="1" applyFont="1" applyFill="1" applyBorder="1" applyAlignment="1" applyProtection="1">
      <alignment horizontal="left" vertical="center" wrapText="1"/>
      <protection locked="0"/>
    </xf>
    <xf numFmtId="49" fontId="19" fillId="17" borderId="756" xfId="8" applyNumberFormat="1" applyFont="1" applyFill="1" applyBorder="1" applyAlignment="1" applyProtection="1">
      <alignment horizontal="center" vertical="center" wrapText="1"/>
      <protection locked="0"/>
    </xf>
    <xf numFmtId="49" fontId="19" fillId="17" borderId="757" xfId="8" applyNumberFormat="1" applyFont="1" applyFill="1" applyBorder="1" applyAlignment="1" applyProtection="1">
      <alignment horizontal="center" vertical="center" wrapText="1"/>
      <protection locked="0"/>
    </xf>
    <xf numFmtId="3" fontId="19" fillId="12" borderId="758" xfId="8" applyNumberFormat="1" applyFont="1" applyFill="1" applyBorder="1" applyAlignment="1" applyProtection="1">
      <alignment horizontal="right" vertical="center"/>
      <protection locked="0"/>
    </xf>
    <xf numFmtId="3" fontId="112" fillId="0" borderId="759" xfId="10" applyNumberFormat="1" applyFont="1" applyBorder="1" applyAlignment="1">
      <alignment horizontal="right" vertical="center"/>
    </xf>
    <xf numFmtId="49" fontId="23" fillId="16" borderId="729" xfId="8" applyNumberFormat="1" applyFont="1" applyFill="1" applyBorder="1" applyAlignment="1" applyProtection="1">
      <alignment horizontal="center" vertical="center" wrapText="1"/>
      <protection locked="0"/>
    </xf>
    <xf numFmtId="3" fontId="23" fillId="0" borderId="669" xfId="8" applyNumberFormat="1" applyFont="1" applyFill="1" applyBorder="1" applyAlignment="1" applyProtection="1">
      <alignment vertical="center"/>
      <protection locked="0"/>
    </xf>
    <xf numFmtId="3" fontId="12" fillId="0" borderId="0" xfId="8" applyNumberFormat="1" applyFont="1" applyFill="1" applyBorder="1" applyAlignment="1" applyProtection="1">
      <alignment horizontal="right" vertical="center"/>
      <protection locked="0"/>
    </xf>
    <xf numFmtId="3" fontId="19" fillId="12" borderId="757" xfId="8" applyNumberFormat="1" applyFont="1" applyFill="1" applyBorder="1" applyAlignment="1" applyProtection="1">
      <alignment horizontal="right" vertical="center"/>
      <protection locked="0"/>
    </xf>
    <xf numFmtId="3" fontId="19" fillId="12" borderId="760" xfId="8" applyNumberFormat="1" applyFont="1" applyFill="1" applyBorder="1" applyAlignment="1" applyProtection="1">
      <alignment horizontal="right" vertical="center"/>
      <protection locked="0"/>
    </xf>
    <xf numFmtId="3" fontId="12" fillId="22" borderId="3" xfId="8" applyNumberFormat="1" applyFont="1" applyFill="1" applyBorder="1" applyAlignment="1" applyProtection="1">
      <alignment horizontal="right" vertical="center"/>
      <protection locked="0"/>
    </xf>
    <xf numFmtId="3" fontId="12" fillId="22" borderId="4" xfId="8" applyNumberFormat="1" applyFont="1" applyFill="1" applyBorder="1" applyAlignment="1" applyProtection="1">
      <alignment horizontal="right" vertical="center"/>
      <protection locked="0"/>
    </xf>
    <xf numFmtId="3" fontId="16" fillId="0" borderId="640" xfId="8" applyNumberFormat="1" applyFont="1" applyFill="1" applyBorder="1" applyAlignment="1" applyProtection="1">
      <alignment horizontal="right" vertical="center"/>
      <protection locked="0"/>
    </xf>
    <xf numFmtId="0" fontId="16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32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3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10" xfId="8" applyNumberFormat="1" applyFont="1" applyFill="1" applyBorder="1" applyAlignment="1" applyProtection="1">
      <alignment horizontal="center" vertical="center" wrapText="1"/>
      <protection locked="0"/>
    </xf>
    <xf numFmtId="3" fontId="11" fillId="0" borderId="518" xfId="8" applyNumberFormat="1" applyFont="1" applyFill="1" applyBorder="1" applyAlignment="1" applyProtection="1">
      <alignment horizontal="center" vertical="center"/>
      <protection locked="0"/>
    </xf>
    <xf numFmtId="3" fontId="11" fillId="0" borderId="14" xfId="8" applyNumberFormat="1" applyFont="1" applyFill="1" applyBorder="1" applyAlignment="1" applyProtection="1">
      <alignment horizontal="center" vertical="center"/>
      <protection locked="0"/>
    </xf>
    <xf numFmtId="3" fontId="11" fillId="0" borderId="368" xfId="8" applyNumberFormat="1" applyFont="1" applyFill="1" applyBorder="1" applyAlignment="1" applyProtection="1">
      <alignment horizontal="center" vertical="center"/>
      <protection locked="0"/>
    </xf>
    <xf numFmtId="0" fontId="11" fillId="0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9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2" xfId="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8" applyNumberFormat="1" applyFont="1" applyFill="1" applyBorder="1" applyAlignment="1" applyProtection="1">
      <alignment horizontal="center" vertical="center"/>
      <protection locked="0"/>
    </xf>
    <xf numFmtId="0" fontId="12" fillId="0" borderId="0" xfId="8" applyNumberFormat="1" applyFont="1" applyFill="1" applyBorder="1" applyAlignment="1" applyProtection="1">
      <alignment horizontal="center" vertical="center"/>
      <protection locked="0"/>
    </xf>
    <xf numFmtId="3" fontId="11" fillId="14" borderId="9" xfId="8" applyNumberFormat="1" applyFont="1" applyFill="1" applyBorder="1" applyAlignment="1" applyProtection="1">
      <alignment horizontal="center" vertical="center" wrapText="1"/>
      <protection locked="0"/>
    </xf>
    <xf numFmtId="3" fontId="11" fillId="14" borderId="2" xfId="8" applyNumberFormat="1" applyFont="1" applyFill="1" applyBorder="1" applyAlignment="1" applyProtection="1">
      <alignment horizontal="center" vertical="center" wrapText="1"/>
      <protection locked="0"/>
    </xf>
    <xf numFmtId="3" fontId="11" fillId="14" borderId="10" xfId="8" applyNumberFormat="1" applyFont="1" applyFill="1" applyBorder="1" applyAlignment="1" applyProtection="1">
      <alignment horizontal="center" vertical="center" wrapText="1"/>
      <protection locked="0"/>
    </xf>
    <xf numFmtId="0" fontId="11" fillId="14" borderId="10" xfId="8" applyNumberFormat="1" applyFont="1" applyFill="1" applyBorder="1" applyAlignment="1" applyProtection="1">
      <alignment horizontal="center" vertical="center" wrapText="1"/>
      <protection locked="0"/>
    </xf>
    <xf numFmtId="49" fontId="11" fillId="21" borderId="2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9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2" xfId="8" applyNumberFormat="1" applyFont="1" applyFill="1" applyBorder="1" applyAlignment="1" applyProtection="1">
      <alignment horizontal="center" vertical="center" wrapText="1"/>
      <protection locked="0"/>
    </xf>
    <xf numFmtId="49" fontId="14" fillId="21" borderId="10" xfId="8" applyNumberFormat="1" applyFont="1" applyFill="1" applyBorder="1" applyAlignment="1" applyProtection="1">
      <alignment horizontal="center" vertical="center" wrapText="1"/>
      <protection locked="0"/>
    </xf>
    <xf numFmtId="0" fontId="113" fillId="0" borderId="0" xfId="8" applyNumberFormat="1" applyFont="1" applyFill="1" applyBorder="1" applyAlignment="1" applyProtection="1">
      <alignment horizontal="left" vertical="center"/>
      <protection locked="0"/>
    </xf>
    <xf numFmtId="0" fontId="114" fillId="0" borderId="0" xfId="8" applyNumberFormat="1" applyFont="1" applyFill="1" applyBorder="1" applyAlignment="1" applyProtection="1">
      <alignment horizontal="left" vertical="center"/>
      <protection locked="0"/>
    </xf>
    <xf numFmtId="3" fontId="33" fillId="0" borderId="0" xfId="8" applyNumberFormat="1" applyFont="1" applyFill="1" applyBorder="1" applyAlignment="1" applyProtection="1">
      <alignment horizontal="right" vertical="center"/>
      <protection locked="0"/>
    </xf>
    <xf numFmtId="3" fontId="115" fillId="0" borderId="0" xfId="8" applyNumberFormat="1" applyFont="1" applyFill="1" applyBorder="1" applyAlignment="1" applyProtection="1">
      <alignment horizontal="right" vertical="center"/>
      <protection locked="0"/>
    </xf>
    <xf numFmtId="0" fontId="116" fillId="0" borderId="1" xfId="8" applyNumberFormat="1" applyFont="1" applyFill="1" applyBorder="1" applyAlignment="1" applyProtection="1">
      <alignment vertical="center" wrapText="1"/>
      <protection locked="0"/>
    </xf>
    <xf numFmtId="0" fontId="116" fillId="0" borderId="0" xfId="8" applyNumberFormat="1" applyFont="1" applyFill="1" applyBorder="1" applyAlignment="1" applyProtection="1">
      <alignment vertical="center" wrapText="1"/>
      <protection locked="0"/>
    </xf>
    <xf numFmtId="3" fontId="92" fillId="0" borderId="0" xfId="4" applyNumberFormat="1" applyFont="1" applyAlignment="1">
      <alignment vertical="center"/>
    </xf>
    <xf numFmtId="0" fontId="97" fillId="0" borderId="0" xfId="4" applyFont="1" applyAlignment="1">
      <alignment vertical="center"/>
    </xf>
    <xf numFmtId="0" fontId="92" fillId="0" borderId="0" xfId="4" applyFont="1" applyAlignment="1">
      <alignment horizontal="right" vertical="center"/>
    </xf>
    <xf numFmtId="49" fontId="92" fillId="0" borderId="0" xfId="4" applyNumberFormat="1" applyFont="1" applyAlignment="1">
      <alignment vertical="center"/>
    </xf>
    <xf numFmtId="3" fontId="12" fillId="3" borderId="59" xfId="4" applyNumberFormat="1" applyFont="1" applyFill="1" applyBorder="1" applyAlignment="1">
      <alignment horizontal="right" vertical="center"/>
    </xf>
    <xf numFmtId="3" fontId="23" fillId="0" borderId="761" xfId="4" applyNumberFormat="1" applyFont="1" applyBorder="1" applyAlignment="1">
      <alignment horizontal="right" vertical="center"/>
    </xf>
    <xf numFmtId="0" fontId="27" fillId="0" borderId="762" xfId="4" applyFont="1" applyBorder="1" applyAlignment="1">
      <alignment horizontal="center" vertical="center"/>
    </xf>
    <xf numFmtId="0" fontId="23" fillId="0" borderId="762" xfId="4" applyFont="1" applyBorder="1" applyAlignment="1">
      <alignment horizontal="center" vertical="center"/>
    </xf>
    <xf numFmtId="3" fontId="20" fillId="0" borderId="764" xfId="4" applyNumberFormat="1" applyFont="1" applyBorder="1" applyAlignment="1">
      <alignment horizontal="right" vertical="center"/>
    </xf>
    <xf numFmtId="3" fontId="12" fillId="23" borderId="764" xfId="4" applyNumberFormat="1" applyFont="1" applyFill="1" applyBorder="1" applyAlignment="1">
      <alignment horizontal="right" vertical="center"/>
    </xf>
    <xf numFmtId="3" fontId="23" fillId="0" borderId="764" xfId="4" applyNumberFormat="1" applyFont="1" applyBorder="1" applyAlignment="1">
      <alignment horizontal="right" vertical="center"/>
    </xf>
    <xf numFmtId="0" fontId="23" fillId="0" borderId="765" xfId="4" applyFont="1" applyBorder="1" applyAlignment="1">
      <alignment horizontal="center" vertical="center"/>
    </xf>
    <xf numFmtId="0" fontId="27" fillId="0" borderId="765" xfId="4" applyFont="1" applyBorder="1" applyAlignment="1">
      <alignment horizontal="center" vertical="center"/>
    </xf>
    <xf numFmtId="3" fontId="12" fillId="23" borderId="68" xfId="4" applyNumberFormat="1" applyFont="1" applyFill="1" applyBorder="1" applyAlignment="1">
      <alignment horizontal="right" vertical="center"/>
    </xf>
    <xf numFmtId="0" fontId="12" fillId="3" borderId="59" xfId="4" applyFont="1" applyFill="1" applyBorder="1" applyAlignment="1">
      <alignment horizontal="center" vertical="center" wrapText="1"/>
    </xf>
    <xf numFmtId="0" fontId="12" fillId="3" borderId="60" xfId="4" applyFont="1" applyFill="1" applyBorder="1" applyAlignment="1">
      <alignment horizontal="center" vertical="center"/>
    </xf>
    <xf numFmtId="0" fontId="12" fillId="3" borderId="61" xfId="4" applyFont="1" applyFill="1" applyBorder="1" applyAlignment="1">
      <alignment horizontal="center" vertical="center"/>
    </xf>
    <xf numFmtId="3" fontId="92" fillId="0" borderId="0" xfId="4" applyNumberFormat="1" applyFont="1" applyAlignment="1">
      <alignment horizontal="center" vertical="center"/>
    </xf>
    <xf numFmtId="0" fontId="92" fillId="0" borderId="0" xfId="4" applyFont="1" applyAlignment="1">
      <alignment horizontal="center" vertical="center" wrapText="1"/>
    </xf>
    <xf numFmtId="0" fontId="85" fillId="0" borderId="0" xfId="4" applyFont="1" applyAlignment="1">
      <alignment vertical="center" wrapText="1"/>
    </xf>
    <xf numFmtId="0" fontId="118" fillId="0" borderId="0" xfId="4" applyFont="1" applyAlignment="1">
      <alignment horizontal="center" vertical="center"/>
    </xf>
    <xf numFmtId="0" fontId="119" fillId="0" borderId="0" xfId="4" applyFont="1" applyAlignment="1">
      <alignment horizontal="center" vertical="top"/>
    </xf>
    <xf numFmtId="0" fontId="97" fillId="0" borderId="0" xfId="4" applyFont="1" applyAlignment="1">
      <alignment horizontal="center" vertical="center"/>
    </xf>
    <xf numFmtId="0" fontId="92" fillId="0" borderId="0" xfId="4" applyFont="1" applyAlignment="1">
      <alignment horizontal="center" vertical="top"/>
    </xf>
    <xf numFmtId="49" fontId="118" fillId="0" borderId="0" xfId="4" applyNumberFormat="1" applyFont="1" applyAlignment="1">
      <alignment horizontal="center" vertical="center"/>
    </xf>
    <xf numFmtId="49" fontId="92" fillId="0" borderId="0" xfId="4" applyNumberFormat="1" applyFont="1" applyAlignment="1">
      <alignment horizontal="center" vertical="top"/>
    </xf>
    <xf numFmtId="3" fontId="12" fillId="3" borderId="60" xfId="4" applyNumberFormat="1" applyFont="1" applyFill="1" applyBorder="1" applyAlignment="1">
      <alignment horizontal="right" vertical="center"/>
    </xf>
    <xf numFmtId="49" fontId="12" fillId="3" borderId="60" xfId="4" applyNumberFormat="1" applyFont="1" applyFill="1" applyBorder="1" applyAlignment="1">
      <alignment horizontal="center" vertical="center"/>
    </xf>
    <xf numFmtId="3" fontId="20" fillId="0" borderId="761" xfId="4" applyNumberFormat="1" applyFont="1" applyBorder="1" applyAlignment="1">
      <alignment horizontal="right" vertical="center"/>
    </xf>
    <xf numFmtId="3" fontId="20" fillId="0" borderId="762" xfId="4" applyNumberFormat="1" applyFont="1" applyBorder="1" applyAlignment="1">
      <alignment horizontal="right" vertical="center"/>
    </xf>
    <xf numFmtId="3" fontId="20" fillId="0" borderId="771" xfId="4" applyNumberFormat="1" applyFont="1" applyBorder="1" applyAlignment="1">
      <alignment horizontal="right" vertical="center"/>
    </xf>
    <xf numFmtId="0" fontId="20" fillId="0" borderId="762" xfId="4" applyFont="1" applyBorder="1" applyAlignment="1">
      <alignment horizontal="center" vertical="center" wrapText="1"/>
    </xf>
    <xf numFmtId="3" fontId="20" fillId="0" borderId="772" xfId="4" applyNumberFormat="1" applyFont="1" applyBorder="1" applyAlignment="1">
      <alignment horizontal="right" vertical="center"/>
    </xf>
    <xf numFmtId="0" fontId="20" fillId="0" borderId="771" xfId="4" applyFont="1" applyBorder="1" applyAlignment="1">
      <alignment horizontal="center" vertical="center" wrapText="1"/>
    </xf>
    <xf numFmtId="3" fontId="20" fillId="0" borderId="765" xfId="4" applyNumberFormat="1" applyFont="1" applyBorder="1" applyAlignment="1">
      <alignment horizontal="right" vertical="center"/>
    </xf>
    <xf numFmtId="0" fontId="20" fillId="0" borderId="765" xfId="4" applyFont="1" applyBorder="1" applyAlignment="1">
      <alignment horizontal="center" vertical="center" wrapText="1"/>
    </xf>
    <xf numFmtId="3" fontId="12" fillId="0" borderId="764" xfId="4" applyNumberFormat="1" applyFont="1" applyBorder="1" applyAlignment="1">
      <alignment horizontal="right" vertical="center"/>
    </xf>
    <xf numFmtId="3" fontId="12" fillId="0" borderId="765" xfId="4" applyNumberFormat="1" applyFont="1" applyBorder="1" applyAlignment="1">
      <alignment horizontal="right" vertical="center"/>
    </xf>
    <xf numFmtId="0" fontId="12" fillId="0" borderId="765" xfId="4" applyFont="1" applyBorder="1" applyAlignment="1">
      <alignment horizontal="center" vertical="center" wrapText="1"/>
    </xf>
    <xf numFmtId="3" fontId="12" fillId="24" borderId="764" xfId="4" applyNumberFormat="1" applyFont="1" applyFill="1" applyBorder="1" applyAlignment="1">
      <alignment horizontal="right" vertical="center"/>
    </xf>
    <xf numFmtId="3" fontId="12" fillId="24" borderId="765" xfId="4" applyNumberFormat="1" applyFont="1" applyFill="1" applyBorder="1" applyAlignment="1">
      <alignment horizontal="right" vertical="center"/>
    </xf>
    <xf numFmtId="49" fontId="16" fillId="24" borderId="765" xfId="4" applyNumberFormat="1" applyFont="1" applyFill="1" applyBorder="1" applyAlignment="1">
      <alignment horizontal="center" vertical="center"/>
    </xf>
    <xf numFmtId="0" fontId="92" fillId="7" borderId="0" xfId="4" applyFont="1" applyFill="1" applyAlignment="1">
      <alignment horizontal="center" vertical="center"/>
    </xf>
    <xf numFmtId="3" fontId="92" fillId="7" borderId="0" xfId="4" applyNumberFormat="1" applyFont="1" applyFill="1" applyAlignment="1">
      <alignment horizontal="center" vertical="center"/>
    </xf>
    <xf numFmtId="0" fontId="20" fillId="0" borderId="771" xfId="4" applyFont="1" applyBorder="1" applyAlignment="1">
      <alignment horizontal="center" vertical="center"/>
    </xf>
    <xf numFmtId="0" fontId="20" fillId="0" borderId="765" xfId="4" applyFont="1" applyBorder="1" applyAlignment="1">
      <alignment horizontal="center" vertical="center"/>
    </xf>
    <xf numFmtId="0" fontId="12" fillId="0" borderId="765" xfId="4" applyFont="1" applyBorder="1" applyAlignment="1">
      <alignment horizontal="center" vertical="center"/>
    </xf>
    <xf numFmtId="3" fontId="12" fillId="24" borderId="396" xfId="4" applyNumberFormat="1" applyFont="1" applyFill="1" applyBorder="1" applyAlignment="1">
      <alignment horizontal="right" vertical="center"/>
    </xf>
    <xf numFmtId="3" fontId="12" fillId="24" borderId="667" xfId="4" applyNumberFormat="1" applyFont="1" applyFill="1" applyBorder="1" applyAlignment="1">
      <alignment horizontal="right" vertical="center"/>
    </xf>
    <xf numFmtId="0" fontId="12" fillId="24" borderId="667" xfId="4" applyFont="1" applyFill="1" applyBorder="1" applyAlignment="1">
      <alignment horizontal="center" vertical="center" wrapText="1"/>
    </xf>
    <xf numFmtId="3" fontId="16" fillId="0" borderId="764" xfId="4" applyNumberFormat="1" applyFont="1" applyBorder="1" applyAlignment="1">
      <alignment horizontal="right" vertical="center"/>
    </xf>
    <xf numFmtId="3" fontId="16" fillId="0" borderId="765" xfId="4" applyNumberFormat="1" applyFont="1" applyBorder="1" applyAlignment="1">
      <alignment horizontal="right" vertical="center"/>
    </xf>
    <xf numFmtId="0" fontId="12" fillId="0" borderId="771" xfId="4" applyFont="1" applyBorder="1" applyAlignment="1">
      <alignment horizontal="center" vertical="center" wrapText="1"/>
    </xf>
    <xf numFmtId="49" fontId="12" fillId="0" borderId="771" xfId="4" applyNumberFormat="1" applyFont="1" applyBorder="1" applyAlignment="1">
      <alignment horizontal="center" vertical="center"/>
    </xf>
    <xf numFmtId="49" fontId="12" fillId="0" borderId="765" xfId="4" applyNumberFormat="1" applyFont="1" applyBorder="1" applyAlignment="1">
      <alignment horizontal="center" vertical="center"/>
    </xf>
    <xf numFmtId="0" fontId="12" fillId="24" borderId="765" xfId="4" applyFont="1" applyFill="1" applyBorder="1" applyAlignment="1">
      <alignment horizontal="center" vertical="center"/>
    </xf>
    <xf numFmtId="0" fontId="20" fillId="7" borderId="0" xfId="4" applyFont="1" applyFill="1" applyAlignment="1">
      <alignment horizontal="center" vertical="center"/>
    </xf>
    <xf numFmtId="3" fontId="20" fillId="7" borderId="0" xfId="4" applyNumberFormat="1" applyFont="1" applyFill="1" applyAlignment="1">
      <alignment horizontal="center" vertical="center"/>
    </xf>
    <xf numFmtId="3" fontId="26" fillId="0" borderId="764" xfId="4" applyNumberFormat="1" applyFont="1" applyBorder="1" applyAlignment="1">
      <alignment horizontal="right" vertical="center"/>
    </xf>
    <xf numFmtId="3" fontId="26" fillId="0" borderId="765" xfId="4" applyNumberFormat="1" applyFont="1" applyBorder="1" applyAlignment="1">
      <alignment horizontal="right" vertical="center"/>
    </xf>
    <xf numFmtId="49" fontId="12" fillId="24" borderId="765" xfId="4" applyNumberFormat="1" applyFont="1" applyFill="1" applyBorder="1" applyAlignment="1">
      <alignment horizontal="center" vertical="center"/>
    </xf>
    <xf numFmtId="0" fontId="16" fillId="24" borderId="667" xfId="4" applyFont="1" applyFill="1" applyBorder="1" applyAlignment="1">
      <alignment horizontal="center" vertical="center"/>
    </xf>
    <xf numFmtId="0" fontId="12" fillId="3" borderId="762" xfId="4" applyFont="1" applyFill="1" applyBorder="1" applyAlignment="1">
      <alignment horizontal="center" vertical="center" wrapText="1"/>
    </xf>
    <xf numFmtId="49" fontId="119" fillId="0" borderId="0" xfId="4" applyNumberFormat="1" applyFont="1" applyAlignment="1">
      <alignment horizontal="center" vertical="top"/>
    </xf>
    <xf numFmtId="3" fontId="103" fillId="0" borderId="0" xfId="4" applyNumberFormat="1" applyFont="1" applyAlignment="1">
      <alignment horizontal="right" vertical="center"/>
    </xf>
    <xf numFmtId="3" fontId="12" fillId="14" borderId="9" xfId="4" applyNumberFormat="1" applyFont="1" applyFill="1" applyBorder="1" applyAlignment="1">
      <alignment horizontal="right" vertical="center"/>
    </xf>
    <xf numFmtId="3" fontId="12" fillId="14" borderId="77" xfId="4" applyNumberFormat="1" applyFont="1" applyFill="1" applyBorder="1" applyAlignment="1">
      <alignment horizontal="right" vertical="center"/>
    </xf>
    <xf numFmtId="3" fontId="12" fillId="14" borderId="2" xfId="4" applyNumberFormat="1" applyFont="1" applyFill="1" applyBorder="1" applyAlignment="1">
      <alignment horizontal="right" vertical="center"/>
    </xf>
    <xf numFmtId="3" fontId="23" fillId="0" borderId="761" xfId="4" applyNumberFormat="1" applyFont="1" applyBorder="1" applyAlignment="1">
      <alignment vertical="center"/>
    </xf>
    <xf numFmtId="3" fontId="23" fillId="0" borderId="773" xfId="4" applyNumberFormat="1" applyFont="1" applyBorder="1" applyAlignment="1">
      <alignment horizontal="right" vertical="center"/>
    </xf>
    <xf numFmtId="3" fontId="23" fillId="0" borderId="774" xfId="4" applyNumberFormat="1" applyFont="1" applyBorder="1" applyAlignment="1">
      <alignment horizontal="right" vertical="center"/>
    </xf>
    <xf numFmtId="49" fontId="20" fillId="24" borderId="775" xfId="4" applyNumberFormat="1" applyFont="1" applyFill="1" applyBorder="1" applyAlignment="1">
      <alignment horizontal="center" vertical="center" wrapText="1"/>
    </xf>
    <xf numFmtId="0" fontId="23" fillId="0" borderId="773" xfId="4" applyFont="1" applyBorder="1" applyAlignment="1">
      <alignment horizontal="center" vertical="center"/>
    </xf>
    <xf numFmtId="3" fontId="23" fillId="0" borderId="772" xfId="4" applyNumberFormat="1" applyFont="1" applyBorder="1" applyAlignment="1">
      <alignment vertical="center"/>
    </xf>
    <xf numFmtId="3" fontId="23" fillId="0" borderId="776" xfId="4" applyNumberFormat="1" applyFont="1" applyBorder="1" applyAlignment="1">
      <alignment horizontal="right" vertical="center"/>
    </xf>
    <xf numFmtId="49" fontId="20" fillId="24" borderId="777" xfId="4" applyNumberFormat="1" applyFont="1" applyFill="1" applyBorder="1" applyAlignment="1">
      <alignment horizontal="center" vertical="center" wrapText="1"/>
    </xf>
    <xf numFmtId="0" fontId="23" fillId="0" borderId="776" xfId="4" applyFont="1" applyBorder="1" applyAlignment="1">
      <alignment horizontal="center" vertical="center"/>
    </xf>
    <xf numFmtId="3" fontId="20" fillId="0" borderId="518" xfId="4" applyNumberFormat="1" applyFont="1" applyBorder="1" applyAlignment="1">
      <alignment horizontal="right" vertical="center"/>
    </xf>
    <xf numFmtId="3" fontId="20" fillId="0" borderId="698" xfId="4" applyNumberFormat="1" applyFont="1" applyBorder="1" applyAlignment="1">
      <alignment horizontal="right" vertical="center"/>
    </xf>
    <xf numFmtId="3" fontId="20" fillId="0" borderId="27" xfId="4" applyNumberFormat="1" applyFont="1" applyBorder="1" applyAlignment="1">
      <alignment horizontal="right" vertical="center"/>
    </xf>
    <xf numFmtId="3" fontId="20" fillId="0" borderId="14" xfId="4" applyNumberFormat="1" applyFont="1" applyBorder="1" applyAlignment="1">
      <alignment horizontal="right" vertical="center"/>
    </xf>
    <xf numFmtId="3" fontId="19" fillId="3" borderId="59" xfId="4" applyNumberFormat="1" applyFont="1" applyFill="1" applyBorder="1" applyAlignment="1">
      <alignment horizontal="right" vertical="center"/>
    </xf>
    <xf numFmtId="3" fontId="19" fillId="3" borderId="77" xfId="4" applyNumberFormat="1" applyFont="1" applyFill="1" applyBorder="1" applyAlignment="1">
      <alignment horizontal="right" vertical="center"/>
    </xf>
    <xf numFmtId="3" fontId="19" fillId="3" borderId="2" xfId="4" applyNumberFormat="1" applyFont="1" applyFill="1" applyBorder="1" applyAlignment="1">
      <alignment horizontal="right" vertical="center"/>
    </xf>
    <xf numFmtId="49" fontId="20" fillId="24" borderId="761" xfId="4" applyNumberFormat="1" applyFont="1" applyFill="1" applyBorder="1" applyAlignment="1">
      <alignment horizontal="center" vertical="center" wrapText="1"/>
    </xf>
    <xf numFmtId="0" fontId="23" fillId="0" borderId="763" xfId="4" applyFont="1" applyBorder="1" applyAlignment="1">
      <alignment horizontal="center" vertical="center"/>
    </xf>
    <xf numFmtId="0" fontId="19" fillId="14" borderId="772" xfId="4" applyFont="1" applyFill="1" applyBorder="1" applyAlignment="1">
      <alignment horizontal="center" vertical="center" wrapText="1"/>
    </xf>
    <xf numFmtId="0" fontId="19" fillId="14" borderId="776" xfId="4" applyFont="1" applyFill="1" applyBorder="1" applyAlignment="1">
      <alignment horizontal="center" vertical="center" wrapText="1"/>
    </xf>
    <xf numFmtId="0" fontId="20" fillId="0" borderId="0" xfId="4" applyFont="1" applyAlignment="1">
      <alignment vertical="center" wrapText="1"/>
    </xf>
    <xf numFmtId="0" fontId="85" fillId="0" borderId="0" xfId="4" applyFont="1" applyAlignment="1">
      <alignment horizontal="center" vertical="center" wrapText="1"/>
    </xf>
    <xf numFmtId="49" fontId="23" fillId="16" borderId="779" xfId="8" applyNumberFormat="1" applyFont="1" applyFill="1" applyBorder="1" applyAlignment="1" applyProtection="1">
      <alignment horizontal="center" vertical="center" wrapText="1"/>
      <protection locked="0"/>
    </xf>
    <xf numFmtId="3" fontId="23" fillId="6" borderId="693" xfId="8" applyNumberFormat="1" applyFont="1" applyFill="1" applyBorder="1" applyAlignment="1" applyProtection="1">
      <alignment horizontal="right" vertical="center"/>
      <protection locked="0"/>
    </xf>
    <xf numFmtId="3" fontId="23" fillId="0" borderId="693" xfId="8" applyNumberFormat="1" applyFont="1" applyFill="1" applyBorder="1" applyAlignment="1" applyProtection="1">
      <alignment horizontal="right" vertical="center"/>
      <protection locked="0"/>
    </xf>
    <xf numFmtId="3" fontId="23" fillId="6" borderId="778" xfId="8" applyNumberFormat="1" applyFont="1" applyFill="1" applyBorder="1" applyAlignment="1" applyProtection="1">
      <alignment horizontal="right" vertical="center"/>
      <protection locked="0"/>
    </xf>
    <xf numFmtId="3" fontId="20" fillId="6" borderId="778" xfId="8" applyNumberFormat="1" applyFont="1" applyFill="1" applyBorder="1" applyAlignment="1" applyProtection="1">
      <alignment horizontal="right" vertical="center"/>
      <protection locked="0"/>
    </xf>
    <xf numFmtId="3" fontId="20" fillId="6" borderId="30" xfId="8" applyNumberFormat="1" applyFont="1" applyFill="1" applyBorder="1" applyAlignment="1" applyProtection="1">
      <alignment horizontal="right" vertical="center"/>
      <protection locked="0"/>
    </xf>
    <xf numFmtId="49" fontId="23" fillId="16" borderId="72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83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778" xfId="8" applyNumberFormat="1" applyFont="1" applyFill="1" applyBorder="1" applyAlignment="1" applyProtection="1">
      <alignment horizontal="right" vertical="center"/>
      <protection locked="0"/>
    </xf>
    <xf numFmtId="49" fontId="6" fillId="16" borderId="72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6" xfId="9" applyNumberFormat="1" applyFont="1" applyBorder="1" applyAlignment="1">
      <alignment vertical="center"/>
    </xf>
    <xf numFmtId="3" fontId="6" fillId="0" borderId="778" xfId="8" applyNumberFormat="1" applyFont="1" applyFill="1" applyBorder="1" applyAlignment="1" applyProtection="1">
      <alignment horizontal="right" vertical="center"/>
      <protection locked="0"/>
    </xf>
    <xf numFmtId="3" fontId="20" fillId="0" borderId="7" xfId="8" applyNumberFormat="1" applyFont="1" applyFill="1" applyBorder="1" applyAlignment="1" applyProtection="1">
      <alignment horizontal="right" vertical="center"/>
      <protection locked="0"/>
    </xf>
    <xf numFmtId="3" fontId="20" fillId="0" borderId="778" xfId="8" applyNumberFormat="1" applyFont="1" applyFill="1" applyBorder="1" applyAlignment="1" applyProtection="1">
      <alignment horizontal="right" vertical="center"/>
      <protection locked="0"/>
    </xf>
    <xf numFmtId="49" fontId="23" fillId="16" borderId="784" xfId="8" applyNumberFormat="1" applyFont="1" applyFill="1" applyBorder="1" applyAlignment="1" applyProtection="1">
      <alignment vertical="center" wrapText="1"/>
      <protection locked="0"/>
    </xf>
    <xf numFmtId="49" fontId="23" fillId="16" borderId="785" xfId="8" applyNumberFormat="1" applyFont="1" applyFill="1" applyBorder="1" applyAlignment="1" applyProtection="1">
      <alignment vertical="center" wrapText="1"/>
      <protection locked="0"/>
    </xf>
    <xf numFmtId="49" fontId="23" fillId="16" borderId="786" xfId="8" applyNumberFormat="1" applyFont="1" applyFill="1" applyBorder="1" applyAlignment="1" applyProtection="1">
      <alignment vertical="center" wrapText="1"/>
      <protection locked="0"/>
    </xf>
    <xf numFmtId="49" fontId="23" fillId="16" borderId="77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8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89" xfId="8" applyNumberFormat="1" applyFont="1" applyFill="1" applyBorder="1" applyAlignment="1" applyProtection="1">
      <alignment horizontal="left" vertical="center" wrapText="1"/>
      <protection locked="0"/>
    </xf>
    <xf numFmtId="3" fontId="6" fillId="0" borderId="790" xfId="8" applyNumberFormat="1" applyFont="1" applyFill="1" applyBorder="1" applyAlignment="1" applyProtection="1">
      <alignment horizontal="right" vertical="center"/>
      <protection locked="0"/>
    </xf>
    <xf numFmtId="3" fontId="6" fillId="0" borderId="791" xfId="8" applyNumberFormat="1" applyFont="1" applyFill="1" applyBorder="1" applyAlignment="1" applyProtection="1">
      <alignment horizontal="right" vertical="center"/>
      <protection locked="0"/>
    </xf>
    <xf numFmtId="3" fontId="27" fillId="0" borderId="778" xfId="8" applyNumberFormat="1" applyFont="1" applyFill="1" applyBorder="1" applyAlignment="1" applyProtection="1">
      <alignment horizontal="right" vertical="center"/>
      <protection locked="0"/>
    </xf>
    <xf numFmtId="3" fontId="23" fillId="0" borderId="792" xfId="8" applyNumberFormat="1" applyFont="1" applyFill="1" applyBorder="1" applyAlignment="1" applyProtection="1">
      <alignment horizontal="right" vertical="center"/>
      <protection locked="0"/>
    </xf>
    <xf numFmtId="49" fontId="6" fillId="16" borderId="65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14" xfId="9" applyNumberFormat="1" applyFont="1" applyBorder="1" applyAlignment="1">
      <alignment horizontal="right" vertical="center"/>
    </xf>
    <xf numFmtId="49" fontId="6" fillId="16" borderId="782" xfId="8" applyNumberFormat="1" applyFont="1" applyFill="1" applyBorder="1" applyAlignment="1" applyProtection="1">
      <alignment horizontal="center" vertical="center" wrapText="1"/>
      <protection locked="0"/>
    </xf>
    <xf numFmtId="3" fontId="6" fillId="0" borderId="778" xfId="8" applyNumberFormat="1" applyFont="1" applyFill="1" applyBorder="1" applyAlignment="1" applyProtection="1">
      <alignment vertical="center"/>
      <protection locked="0"/>
    </xf>
    <xf numFmtId="2" fontId="6" fillId="0" borderId="5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93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94" xfId="8" applyNumberFormat="1" applyFont="1" applyFill="1" applyBorder="1" applyAlignment="1" applyProtection="1">
      <alignment horizontal="left" vertical="center" wrapText="1"/>
      <protection locked="0"/>
    </xf>
    <xf numFmtId="3" fontId="23" fillId="0" borderId="790" xfId="8" applyNumberFormat="1" applyFont="1" applyFill="1" applyBorder="1" applyAlignment="1" applyProtection="1">
      <alignment horizontal="right" vertical="center"/>
      <protection locked="0"/>
    </xf>
    <xf numFmtId="3" fontId="23" fillId="0" borderId="791" xfId="8" applyNumberFormat="1" applyFont="1" applyFill="1" applyBorder="1" applyAlignment="1" applyProtection="1">
      <alignment horizontal="right" vertical="center"/>
      <protection locked="0"/>
    </xf>
    <xf numFmtId="3" fontId="20" fillId="0" borderId="790" xfId="8" applyNumberFormat="1" applyFont="1" applyFill="1" applyBorder="1" applyAlignment="1" applyProtection="1">
      <alignment horizontal="right" vertical="center"/>
      <protection locked="0"/>
    </xf>
    <xf numFmtId="3" fontId="20" fillId="0" borderId="791" xfId="8" applyNumberFormat="1" applyFont="1" applyFill="1" applyBorder="1" applyAlignment="1" applyProtection="1">
      <alignment horizontal="right" vertical="center"/>
      <protection locked="0"/>
    </xf>
    <xf numFmtId="49" fontId="23" fillId="16" borderId="79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9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9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9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0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801" xfId="8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Font="1" applyAlignment="1">
      <alignment horizontal="center" vertical="center" wrapText="1"/>
    </xf>
    <xf numFmtId="0" fontId="64" fillId="2" borderId="2" xfId="2" applyFont="1" applyFill="1" applyBorder="1" applyAlignment="1">
      <alignment horizontal="center" vertical="center" wrapText="1"/>
    </xf>
    <xf numFmtId="0" fontId="64" fillId="2" borderId="3" xfId="2" applyFont="1" applyFill="1" applyBorder="1" applyAlignment="1">
      <alignment horizontal="center" vertical="center" wrapText="1"/>
    </xf>
    <xf numFmtId="0" fontId="64" fillId="2" borderId="6" xfId="2" applyFont="1" applyFill="1" applyBorder="1" applyAlignment="1">
      <alignment horizontal="center" vertical="center" wrapText="1"/>
    </xf>
    <xf numFmtId="0" fontId="64" fillId="2" borderId="4" xfId="2" applyFont="1" applyFill="1" applyBorder="1" applyAlignment="1">
      <alignment horizontal="center" vertical="center" wrapText="1"/>
    </xf>
    <xf numFmtId="0" fontId="64" fillId="2" borderId="7" xfId="2" applyFont="1" applyFill="1" applyBorder="1" applyAlignment="1">
      <alignment horizontal="center" vertical="center" wrapText="1"/>
    </xf>
    <xf numFmtId="3" fontId="51" fillId="2" borderId="3" xfId="2" applyNumberFormat="1" applyFont="1" applyFill="1" applyBorder="1" applyAlignment="1">
      <alignment horizontal="center" vertical="center" wrapText="1"/>
    </xf>
    <xf numFmtId="3" fontId="51" fillId="2" borderId="6" xfId="2" applyNumberFormat="1" applyFont="1" applyFill="1" applyBorder="1" applyAlignment="1">
      <alignment horizontal="center" vertical="center" wrapText="1"/>
    </xf>
    <xf numFmtId="10" fontId="51" fillId="2" borderId="3" xfId="2" applyNumberFormat="1" applyFont="1" applyFill="1" applyBorder="1" applyAlignment="1">
      <alignment horizontal="center" vertical="center" wrapText="1"/>
    </xf>
    <xf numFmtId="10" fontId="51" fillId="2" borderId="6" xfId="2" applyNumberFormat="1" applyFont="1" applyFill="1" applyBorder="1" applyAlignment="1">
      <alignment horizontal="center" vertical="center" wrapText="1"/>
    </xf>
    <xf numFmtId="3" fontId="64" fillId="2" borderId="5" xfId="2" applyNumberFormat="1" applyFont="1" applyFill="1" applyBorder="1" applyAlignment="1">
      <alignment horizontal="center" vertical="center" wrapText="1"/>
    </xf>
    <xf numFmtId="3" fontId="64" fillId="2" borderId="8" xfId="2" applyNumberFormat="1" applyFont="1" applyFill="1" applyBorder="1" applyAlignment="1">
      <alignment horizontal="center" vertical="center" wrapText="1"/>
    </xf>
    <xf numFmtId="0" fontId="20" fillId="5" borderId="20" xfId="2" applyFont="1" applyFill="1" applyBorder="1" applyAlignment="1">
      <alignment horizontal="left" vertical="center" wrapText="1"/>
    </xf>
    <xf numFmtId="0" fontId="20" fillId="5" borderId="21" xfId="2" applyFont="1" applyFill="1" applyBorder="1" applyAlignment="1">
      <alignment horizontal="left" vertical="center" wrapText="1"/>
    </xf>
    <xf numFmtId="0" fontId="20" fillId="5" borderId="26" xfId="2" applyFont="1" applyFill="1" applyBorder="1" applyAlignment="1">
      <alignment horizontal="left" vertical="center" wrapText="1"/>
    </xf>
    <xf numFmtId="0" fontId="20" fillId="5" borderId="13" xfId="2" quotePrefix="1" applyFont="1" applyFill="1" applyBorder="1" applyAlignment="1">
      <alignment horizontal="left" vertical="center" wrapText="1"/>
    </xf>
    <xf numFmtId="0" fontId="20" fillId="6" borderId="17" xfId="2" applyFont="1" applyFill="1" applyBorder="1" applyAlignment="1">
      <alignment horizontal="center" vertical="center" wrapText="1"/>
    </xf>
    <xf numFmtId="0" fontId="20" fillId="6" borderId="12" xfId="2" applyFont="1" applyFill="1" applyBorder="1" applyAlignment="1">
      <alignment horizontal="center" vertical="center" wrapText="1"/>
    </xf>
    <xf numFmtId="0" fontId="20" fillId="6" borderId="14" xfId="2" applyFont="1" applyFill="1" applyBorder="1" applyAlignment="1">
      <alignment horizontal="center" vertical="center" wrapText="1"/>
    </xf>
    <xf numFmtId="10" fontId="24" fillId="0" borderId="22" xfId="1" applyNumberFormat="1" applyFont="1" applyFill="1" applyBorder="1" applyAlignment="1">
      <alignment horizontal="left" vertical="center"/>
    </xf>
    <xf numFmtId="10" fontId="24" fillId="0" borderId="16" xfId="1" applyNumberFormat="1" applyFont="1" applyFill="1" applyBorder="1" applyAlignment="1">
      <alignment horizontal="left" vertical="center"/>
    </xf>
    <xf numFmtId="0" fontId="20" fillId="5" borderId="31" xfId="2" applyFont="1" applyFill="1" applyBorder="1" applyAlignment="1">
      <alignment horizontal="left" vertical="center" wrapText="1"/>
    </xf>
    <xf numFmtId="0" fontId="20" fillId="5" borderId="33" xfId="2" quotePrefix="1" applyFont="1" applyFill="1" applyBorder="1" applyAlignment="1">
      <alignment horizontal="left" vertical="center" wrapText="1"/>
    </xf>
    <xf numFmtId="49" fontId="20" fillId="5" borderId="32" xfId="2" applyNumberFormat="1" applyFont="1" applyFill="1" applyBorder="1" applyAlignment="1">
      <alignment horizontal="left" vertical="center" wrapText="1"/>
    </xf>
    <xf numFmtId="9" fontId="64" fillId="2" borderId="3" xfId="1" applyFont="1" applyFill="1" applyBorder="1" applyAlignment="1">
      <alignment horizontal="center" vertical="center" wrapText="1"/>
    </xf>
    <xf numFmtId="9" fontId="64" fillId="2" borderId="6" xfId="1" applyFont="1" applyFill="1" applyBorder="1" applyAlignment="1">
      <alignment horizontal="center" vertical="center" wrapText="1"/>
    </xf>
    <xf numFmtId="3" fontId="64" fillId="2" borderId="3" xfId="2" applyNumberFormat="1" applyFont="1" applyFill="1" applyBorder="1" applyAlignment="1">
      <alignment horizontal="center" vertical="center" wrapText="1"/>
    </xf>
    <xf numFmtId="3" fontId="64" fillId="2" borderId="6" xfId="2" applyNumberFormat="1" applyFont="1" applyFill="1" applyBorder="1" applyAlignment="1">
      <alignment horizontal="center" vertical="center" wrapText="1"/>
    </xf>
    <xf numFmtId="3" fontId="11" fillId="2" borderId="3" xfId="2" applyNumberFormat="1" applyFont="1" applyFill="1" applyBorder="1" applyAlignment="1">
      <alignment horizontal="center" vertical="center" wrapText="1"/>
    </xf>
    <xf numFmtId="3" fontId="11" fillId="2" borderId="6" xfId="2" applyNumberFormat="1" applyFont="1" applyFill="1" applyBorder="1" applyAlignment="1">
      <alignment horizontal="center" vertical="center" wrapText="1"/>
    </xf>
    <xf numFmtId="3" fontId="11" fillId="2" borderId="5" xfId="2" applyNumberFormat="1" applyFont="1" applyFill="1" applyBorder="1" applyAlignment="1">
      <alignment horizontal="center" vertical="center" wrapText="1"/>
    </xf>
    <xf numFmtId="3" fontId="11" fillId="2" borderId="8" xfId="2" applyNumberFormat="1" applyFont="1" applyFill="1" applyBorder="1" applyAlignment="1">
      <alignment horizontal="center" vertical="center" wrapText="1"/>
    </xf>
    <xf numFmtId="0" fontId="20" fillId="5" borderId="13" xfId="2" applyFont="1" applyFill="1" applyBorder="1" applyAlignment="1">
      <alignment horizontal="left" vertical="center" wrapText="1"/>
    </xf>
    <xf numFmtId="0" fontId="23" fillId="6" borderId="18" xfId="2" applyFont="1" applyFill="1" applyBorder="1" applyAlignment="1">
      <alignment horizontal="left" vertical="center" wrapText="1"/>
    </xf>
    <xf numFmtId="0" fontId="23" fillId="6" borderId="0" xfId="2" applyFont="1" applyFill="1" applyAlignment="1">
      <alignment horizontal="left" vertical="center" wrapText="1"/>
    </xf>
    <xf numFmtId="0" fontId="23" fillId="6" borderId="24" xfId="2" applyFont="1" applyFill="1" applyBorder="1" applyAlignment="1">
      <alignment horizontal="left" vertical="center" wrapText="1"/>
    </xf>
    <xf numFmtId="10" fontId="25" fillId="0" borderId="22" xfId="1" applyNumberFormat="1" applyFont="1" applyFill="1" applyBorder="1" applyAlignment="1">
      <alignment horizontal="center" vertical="center"/>
    </xf>
    <xf numFmtId="10" fontId="25" fillId="0" borderId="23" xfId="1" applyNumberFormat="1" applyFont="1" applyFill="1" applyBorder="1" applyAlignment="1">
      <alignment horizontal="center" vertical="center"/>
    </xf>
    <xf numFmtId="10" fontId="25" fillId="0" borderId="16" xfId="1" applyNumberFormat="1" applyFont="1" applyFill="1" applyBorder="1" applyAlignment="1">
      <alignment horizontal="center" vertical="center"/>
    </xf>
    <xf numFmtId="0" fontId="20" fillId="5" borderId="29" xfId="2" quotePrefix="1" applyFont="1" applyFill="1" applyBorder="1" applyAlignment="1">
      <alignment horizontal="left" vertical="center" wrapText="1"/>
    </xf>
    <xf numFmtId="0" fontId="12" fillId="0" borderId="3" xfId="2" quotePrefix="1" applyFont="1" applyBorder="1" applyAlignment="1">
      <alignment horizontal="center" vertical="center" wrapText="1"/>
    </xf>
    <xf numFmtId="0" fontId="12" fillId="0" borderId="12" xfId="2" quotePrefix="1" applyFont="1" applyBorder="1" applyAlignment="1">
      <alignment horizontal="center" vertical="center" wrapText="1"/>
    </xf>
    <xf numFmtId="0" fontId="12" fillId="0" borderId="6" xfId="2" quotePrefix="1" applyFont="1" applyBorder="1" applyAlignment="1">
      <alignment horizontal="center" vertical="center" wrapText="1"/>
    </xf>
    <xf numFmtId="0" fontId="20" fillId="5" borderId="15" xfId="2" applyFont="1" applyFill="1" applyBorder="1" applyAlignment="1">
      <alignment horizontal="left" vertical="center" wrapText="1"/>
    </xf>
    <xf numFmtId="0" fontId="20" fillId="5" borderId="24" xfId="2" quotePrefix="1" applyFont="1" applyFill="1" applyBorder="1" applyAlignment="1">
      <alignment horizontal="left" vertical="center" wrapText="1"/>
    </xf>
    <xf numFmtId="0" fontId="20" fillId="5" borderId="24" xfId="2" applyFont="1" applyFill="1" applyBorder="1" applyAlignment="1">
      <alignment horizontal="left" vertical="center" wrapText="1"/>
    </xf>
    <xf numFmtId="49" fontId="28" fillId="0" borderId="17" xfId="2" applyNumberFormat="1" applyFont="1" applyBorder="1" applyAlignment="1">
      <alignment horizontal="center" vertical="center" wrapText="1"/>
    </xf>
    <xf numFmtId="49" fontId="28" fillId="0" borderId="14" xfId="2" applyNumberFormat="1" applyFont="1" applyBorder="1" applyAlignment="1">
      <alignment horizontal="center" vertical="center" wrapText="1"/>
    </xf>
    <xf numFmtId="49" fontId="20" fillId="5" borderId="31" xfId="2" applyNumberFormat="1" applyFont="1" applyFill="1" applyBorder="1" applyAlignment="1">
      <alignment horizontal="left" vertical="center" wrapText="1"/>
    </xf>
    <xf numFmtId="49" fontId="20" fillId="5" borderId="33" xfId="2" applyNumberFormat="1" applyFont="1" applyFill="1" applyBorder="1" applyAlignment="1">
      <alignment horizontal="left" vertical="center" wrapText="1"/>
    </xf>
    <xf numFmtId="0" fontId="20" fillId="0" borderId="28" xfId="2" applyFont="1" applyBorder="1" applyAlignment="1">
      <alignment horizontal="center" vertical="center" wrapText="1"/>
    </xf>
    <xf numFmtId="0" fontId="30" fillId="0" borderId="17" xfId="2" applyFont="1" applyBorder="1" applyAlignment="1">
      <alignment horizontal="left" vertical="center" wrapText="1"/>
    </xf>
    <xf numFmtId="0" fontId="30" fillId="0" borderId="14" xfId="2" applyFont="1" applyBorder="1" applyAlignment="1">
      <alignment horizontal="left" vertical="center" wrapText="1"/>
    </xf>
    <xf numFmtId="0" fontId="20" fillId="5" borderId="37" xfId="2" quotePrefix="1" applyFont="1" applyFill="1" applyBorder="1" applyAlignment="1">
      <alignment horizontal="left" vertical="center" wrapText="1"/>
    </xf>
    <xf numFmtId="0" fontId="20" fillId="5" borderId="25" xfId="2" applyFont="1" applyFill="1" applyBorder="1" applyAlignment="1">
      <alignment horizontal="left" vertical="center" wrapText="1"/>
    </xf>
    <xf numFmtId="0" fontId="20" fillId="6" borderId="23" xfId="2" applyFont="1" applyFill="1" applyBorder="1" applyAlignment="1">
      <alignment horizontal="center" vertical="center" wrapText="1"/>
    </xf>
    <xf numFmtId="0" fontId="20" fillId="6" borderId="16" xfId="2" applyFont="1" applyFill="1" applyBorder="1" applyAlignment="1">
      <alignment horizontal="center" vertical="center" wrapText="1"/>
    </xf>
    <xf numFmtId="0" fontId="20" fillId="6" borderId="6" xfId="2" applyFont="1" applyFill="1" applyBorder="1" applyAlignment="1">
      <alignment horizontal="center" vertical="center" wrapText="1"/>
    </xf>
    <xf numFmtId="0" fontId="20" fillId="5" borderId="35" xfId="2" applyFont="1" applyFill="1" applyBorder="1" applyAlignment="1">
      <alignment horizontal="left" vertical="center" wrapText="1"/>
    </xf>
    <xf numFmtId="0" fontId="20" fillId="5" borderId="36" xfId="2" quotePrefix="1" applyFont="1" applyFill="1" applyBorder="1" applyAlignment="1">
      <alignment horizontal="left" vertical="center" wrapText="1"/>
    </xf>
    <xf numFmtId="0" fontId="23" fillId="6" borderId="17" xfId="2" quotePrefix="1" applyFont="1" applyFill="1" applyBorder="1" applyAlignment="1">
      <alignment horizontal="center" vertical="center" wrapText="1"/>
    </xf>
    <xf numFmtId="0" fontId="23" fillId="6" borderId="6" xfId="2" quotePrefix="1" applyFont="1" applyFill="1" applyBorder="1" applyAlignment="1">
      <alignment horizontal="center" vertical="center" wrapText="1"/>
    </xf>
    <xf numFmtId="0" fontId="26" fillId="5" borderId="21" xfId="2" applyFont="1" applyFill="1" applyBorder="1" applyAlignment="1">
      <alignment horizontal="left" vertical="center" wrapText="1"/>
    </xf>
    <xf numFmtId="0" fontId="26" fillId="5" borderId="31" xfId="2" applyFont="1" applyFill="1" applyBorder="1" applyAlignment="1">
      <alignment horizontal="left" vertical="center" wrapText="1"/>
    </xf>
    <xf numFmtId="0" fontId="26" fillId="5" borderId="33" xfId="2" quotePrefix="1" applyFont="1" applyFill="1" applyBorder="1" applyAlignment="1">
      <alignment horizontal="left" vertical="center" wrapText="1"/>
    </xf>
    <xf numFmtId="0" fontId="33" fillId="5" borderId="39" xfId="2" applyFont="1" applyFill="1" applyBorder="1" applyAlignment="1">
      <alignment horizontal="left" vertical="center" wrapText="1"/>
    </xf>
    <xf numFmtId="0" fontId="33" fillId="5" borderId="40" xfId="2" quotePrefix="1" applyFont="1" applyFill="1" applyBorder="1" applyAlignment="1">
      <alignment horizontal="left" vertical="center" wrapText="1"/>
    </xf>
    <xf numFmtId="49" fontId="6" fillId="6" borderId="17" xfId="2" quotePrefix="1" applyNumberFormat="1" applyFont="1" applyFill="1" applyBorder="1" applyAlignment="1">
      <alignment horizontal="center" vertical="center" wrapText="1"/>
    </xf>
    <xf numFmtId="49" fontId="6" fillId="6" borderId="14" xfId="2" quotePrefix="1" applyNumberFormat="1" applyFont="1" applyFill="1" applyBorder="1" applyAlignment="1">
      <alignment horizontal="center" vertical="center" wrapText="1"/>
    </xf>
    <xf numFmtId="0" fontId="26" fillId="5" borderId="13" xfId="2" applyFont="1" applyFill="1" applyBorder="1" applyAlignment="1">
      <alignment horizontal="left" vertical="center" wrapText="1"/>
    </xf>
    <xf numFmtId="0" fontId="26" fillId="5" borderId="0" xfId="2" applyFont="1" applyFill="1" applyAlignment="1">
      <alignment horizontal="left" vertical="center" wrapText="1"/>
    </xf>
    <xf numFmtId="0" fontId="26" fillId="5" borderId="18" xfId="2" applyFont="1" applyFill="1" applyBorder="1" applyAlignment="1">
      <alignment horizontal="left" vertical="center" wrapText="1"/>
    </xf>
    <xf numFmtId="0" fontId="20" fillId="5" borderId="32" xfId="2" applyFont="1" applyFill="1" applyBorder="1" applyAlignment="1">
      <alignment horizontal="left" vertical="center" wrapText="1"/>
    </xf>
    <xf numFmtId="0" fontId="20" fillId="6" borderId="5" xfId="2" applyFont="1" applyFill="1" applyBorder="1" applyAlignment="1">
      <alignment horizontal="center" vertical="center" wrapText="1"/>
    </xf>
    <xf numFmtId="0" fontId="20" fillId="5" borderId="29" xfId="2" applyFont="1" applyFill="1" applyBorder="1" applyAlignment="1">
      <alignment horizontal="left" vertical="center" wrapText="1"/>
    </xf>
    <xf numFmtId="0" fontId="20" fillId="5" borderId="1" xfId="2" quotePrefix="1" applyFont="1" applyFill="1" applyBorder="1" applyAlignment="1">
      <alignment horizontal="left" vertical="center" wrapText="1"/>
    </xf>
    <xf numFmtId="0" fontId="20" fillId="5" borderId="0" xfId="2" applyFont="1" applyFill="1" applyAlignment="1">
      <alignment horizontal="left" vertical="center" wrapText="1"/>
    </xf>
    <xf numFmtId="0" fontId="20" fillId="5" borderId="0" xfId="2" quotePrefix="1" applyFont="1" applyFill="1" applyAlignment="1">
      <alignment horizontal="left" vertical="center" wrapText="1"/>
    </xf>
    <xf numFmtId="0" fontId="20" fillId="6" borderId="22" xfId="2" applyFont="1" applyFill="1" applyBorder="1" applyAlignment="1">
      <alignment horizontal="center" vertical="center" wrapText="1"/>
    </xf>
    <xf numFmtId="0" fontId="33" fillId="5" borderId="26" xfId="2" applyFont="1" applyFill="1" applyBorder="1" applyAlignment="1">
      <alignment horizontal="left" vertical="center" wrapText="1"/>
    </xf>
    <xf numFmtId="0" fontId="33" fillId="5" borderId="37" xfId="2" quotePrefix="1" applyFont="1" applyFill="1" applyBorder="1" applyAlignment="1">
      <alignment horizontal="left" vertical="center" wrapText="1"/>
    </xf>
    <xf numFmtId="0" fontId="34" fillId="6" borderId="12" xfId="2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7" fillId="0" borderId="17" xfId="2" applyFont="1" applyBorder="1" applyAlignment="1">
      <alignment horizontal="center" vertical="center" wrapText="1"/>
    </xf>
    <xf numFmtId="0" fontId="37" fillId="0" borderId="12" xfId="2" applyFont="1" applyBorder="1" applyAlignment="1">
      <alignment horizontal="center" vertical="center" wrapText="1"/>
    </xf>
    <xf numFmtId="0" fontId="20" fillId="5" borderId="21" xfId="2" quotePrefix="1" applyFont="1" applyFill="1" applyBorder="1" applyAlignment="1">
      <alignment horizontal="left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23" fillId="0" borderId="18" xfId="2" applyFont="1" applyBorder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9" fillId="0" borderId="3" xfId="2" applyFont="1" applyBorder="1" applyAlignment="1">
      <alignment horizontal="center" vertical="center" wrapText="1"/>
    </xf>
    <xf numFmtId="0" fontId="29" fillId="0" borderId="12" xfId="2" applyFont="1" applyBorder="1" applyAlignment="1">
      <alignment horizontal="center" vertical="center" wrapText="1"/>
    </xf>
    <xf numFmtId="0" fontId="29" fillId="0" borderId="6" xfId="2" applyFont="1" applyBorder="1" applyAlignment="1">
      <alignment horizontal="center" vertical="center" wrapText="1"/>
    </xf>
    <xf numFmtId="0" fontId="26" fillId="0" borderId="12" xfId="2" applyFont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0" fontId="26" fillId="5" borderId="15" xfId="2" applyFont="1" applyFill="1" applyBorder="1" applyAlignment="1">
      <alignment horizontal="left" vertical="center" wrapText="1"/>
    </xf>
    <xf numFmtId="0" fontId="26" fillId="5" borderId="24" xfId="2" quotePrefix="1" applyFont="1" applyFill="1" applyBorder="1" applyAlignment="1">
      <alignment horizontal="left" vertical="center" wrapText="1"/>
    </xf>
    <xf numFmtId="0" fontId="26" fillId="5" borderId="20" xfId="2" applyFont="1" applyFill="1" applyBorder="1" applyAlignment="1">
      <alignment horizontal="left" vertical="center" wrapText="1"/>
    </xf>
    <xf numFmtId="0" fontId="26" fillId="5" borderId="21" xfId="2" quotePrefix="1" applyFont="1" applyFill="1" applyBorder="1" applyAlignment="1">
      <alignment horizontal="left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38" fillId="5" borderId="7" xfId="2" applyFont="1" applyFill="1" applyBorder="1" applyAlignment="1">
      <alignment horizontal="left" vertical="center" wrapText="1"/>
    </xf>
    <xf numFmtId="0" fontId="38" fillId="5" borderId="1" xfId="2" quotePrefix="1" applyFont="1" applyFill="1" applyBorder="1" applyAlignment="1">
      <alignment horizontal="left" vertical="center" wrapText="1"/>
    </xf>
    <xf numFmtId="0" fontId="23" fillId="0" borderId="34" xfId="2" applyFont="1" applyBorder="1" applyAlignment="1">
      <alignment horizontal="left" vertical="center" wrapText="1"/>
    </xf>
    <xf numFmtId="0" fontId="23" fillId="0" borderId="15" xfId="2" applyFont="1" applyBorder="1" applyAlignment="1">
      <alignment horizontal="left" vertical="center" wrapText="1"/>
    </xf>
    <xf numFmtId="0" fontId="20" fillId="5" borderId="28" xfId="2" applyFont="1" applyFill="1" applyBorder="1" applyAlignment="1">
      <alignment horizontal="left" vertical="center" wrapText="1"/>
    </xf>
    <xf numFmtId="0" fontId="41" fillId="6" borderId="3" xfId="2" applyFont="1" applyFill="1" applyBorder="1" applyAlignment="1">
      <alignment horizontal="center" vertical="center" wrapText="1"/>
    </xf>
    <xf numFmtId="0" fontId="41" fillId="6" borderId="12" xfId="2" applyFont="1" applyFill="1" applyBorder="1" applyAlignment="1">
      <alignment horizontal="center" vertical="center" wrapText="1"/>
    </xf>
    <xf numFmtId="0" fontId="12" fillId="6" borderId="12" xfId="2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horizontal="center" vertical="center" wrapText="1"/>
    </xf>
    <xf numFmtId="0" fontId="20" fillId="5" borderId="25" xfId="2" quotePrefix="1" applyFont="1" applyFill="1" applyBorder="1" applyAlignment="1">
      <alignment horizontal="left" vertical="center" wrapText="1"/>
    </xf>
    <xf numFmtId="0" fontId="33" fillId="5" borderId="24" xfId="2" applyFont="1" applyFill="1" applyBorder="1" applyAlignment="1">
      <alignment horizontal="left" vertical="center" wrapText="1"/>
    </xf>
    <xf numFmtId="0" fontId="33" fillId="5" borderId="24" xfId="2" quotePrefix="1" applyFont="1" applyFill="1" applyBorder="1" applyAlignment="1">
      <alignment horizontal="left" vertical="center" wrapText="1"/>
    </xf>
    <xf numFmtId="0" fontId="33" fillId="5" borderId="31" xfId="2" applyFont="1" applyFill="1" applyBorder="1" applyAlignment="1">
      <alignment horizontal="left" vertical="center" wrapText="1"/>
    </xf>
    <xf numFmtId="0" fontId="33" fillId="5" borderId="29" xfId="2" quotePrefix="1" applyFont="1" applyFill="1" applyBorder="1" applyAlignment="1">
      <alignment horizontal="left" vertical="center" wrapText="1"/>
    </xf>
    <xf numFmtId="0" fontId="33" fillId="5" borderId="13" xfId="2" quotePrefix="1" applyFont="1" applyFill="1" applyBorder="1" applyAlignment="1">
      <alignment horizontal="left" vertical="center" wrapText="1"/>
    </xf>
    <xf numFmtId="0" fontId="33" fillId="0" borderId="12" xfId="2" applyFont="1" applyBorder="1" applyAlignment="1">
      <alignment horizontal="center" vertical="center" wrapText="1"/>
    </xf>
    <xf numFmtId="0" fontId="33" fillId="5" borderId="31" xfId="2" applyFont="1" applyFill="1" applyBorder="1" applyAlignment="1">
      <alignment horizontal="left" vertical="center"/>
    </xf>
    <xf numFmtId="0" fontId="33" fillId="5" borderId="29" xfId="2" applyFont="1" applyFill="1" applyBorder="1" applyAlignment="1">
      <alignment horizontal="left" vertical="center"/>
    </xf>
    <xf numFmtId="49" fontId="23" fillId="6" borderId="17" xfId="2" applyNumberFormat="1" applyFont="1" applyFill="1" applyBorder="1" applyAlignment="1">
      <alignment horizontal="center" vertical="center" wrapText="1"/>
    </xf>
    <xf numFmtId="49" fontId="23" fillId="6" borderId="14" xfId="2" applyNumberFormat="1" applyFont="1" applyFill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0" fontId="23" fillId="0" borderId="17" xfId="2" quotePrefix="1" applyFont="1" applyBorder="1" applyAlignment="1">
      <alignment horizontal="center" vertical="center" wrapText="1"/>
    </xf>
    <xf numFmtId="0" fontId="23" fillId="0" borderId="12" xfId="2" quotePrefix="1" applyFont="1" applyBorder="1" applyAlignment="1">
      <alignment horizontal="center" vertical="center" wrapText="1"/>
    </xf>
    <xf numFmtId="0" fontId="23" fillId="0" borderId="14" xfId="2" quotePrefix="1" applyFont="1" applyBorder="1" applyAlignment="1">
      <alignment horizontal="center" vertical="center" wrapText="1"/>
    </xf>
    <xf numFmtId="0" fontId="20" fillId="5" borderId="31" xfId="2" applyFont="1" applyFill="1" applyBorder="1" applyAlignment="1">
      <alignment horizontal="left" vertical="center"/>
    </xf>
    <xf numFmtId="0" fontId="20" fillId="5" borderId="29" xfId="2" applyFont="1" applyFill="1" applyBorder="1" applyAlignment="1">
      <alignment horizontal="left" vertical="center"/>
    </xf>
    <xf numFmtId="0" fontId="33" fillId="5" borderId="13" xfId="2" applyFont="1" applyFill="1" applyBorder="1" applyAlignment="1">
      <alignment horizontal="left" vertical="center" wrapText="1"/>
    </xf>
    <xf numFmtId="49" fontId="23" fillId="0" borderId="17" xfId="2" quotePrefix="1" applyNumberFormat="1" applyFont="1" applyBorder="1" applyAlignment="1">
      <alignment horizontal="center" vertical="center" wrapText="1"/>
    </xf>
    <xf numFmtId="49" fontId="23" fillId="0" borderId="14" xfId="2" quotePrefix="1" applyNumberFormat="1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33" fillId="6" borderId="17" xfId="2" applyFont="1" applyFill="1" applyBorder="1" applyAlignment="1">
      <alignment horizontal="center" vertical="center" wrapText="1"/>
    </xf>
    <xf numFmtId="0" fontId="33" fillId="6" borderId="12" xfId="2" applyFont="1" applyFill="1" applyBorder="1" applyAlignment="1">
      <alignment horizontal="center" vertical="center" wrapText="1"/>
    </xf>
    <xf numFmtId="0" fontId="33" fillId="6" borderId="14" xfId="2" applyFont="1" applyFill="1" applyBorder="1" applyAlignment="1">
      <alignment horizontal="center" vertical="center" wrapText="1"/>
    </xf>
    <xf numFmtId="0" fontId="33" fillId="5" borderId="7" xfId="2" applyFont="1" applyFill="1" applyBorder="1" applyAlignment="1">
      <alignment horizontal="left" vertical="center" wrapText="1"/>
    </xf>
    <xf numFmtId="0" fontId="33" fillId="5" borderId="1" xfId="2" quotePrefix="1" applyFont="1" applyFill="1" applyBorder="1" applyAlignment="1">
      <alignment horizontal="left" vertical="center" wrapText="1"/>
    </xf>
    <xf numFmtId="0" fontId="33" fillId="5" borderId="15" xfId="2" applyFont="1" applyFill="1" applyBorder="1" applyAlignment="1">
      <alignment horizontal="left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33" fillId="5" borderId="41" xfId="2" applyFont="1" applyFill="1" applyBorder="1" applyAlignment="1">
      <alignment horizontal="left" vertical="center" wrapText="1"/>
    </xf>
    <xf numFmtId="0" fontId="33" fillId="5" borderId="42" xfId="2" quotePrefix="1" applyFont="1" applyFill="1" applyBorder="1" applyAlignment="1">
      <alignment horizontal="left" vertical="center" wrapText="1"/>
    </xf>
    <xf numFmtId="0" fontId="23" fillId="0" borderId="3" xfId="2" quotePrefix="1" applyFont="1" applyBorder="1" applyAlignment="1">
      <alignment horizontal="center" vertical="center" wrapText="1"/>
    </xf>
    <xf numFmtId="0" fontId="33" fillId="5" borderId="24" xfId="4" applyFont="1" applyFill="1" applyBorder="1" applyAlignment="1">
      <alignment horizontal="left" vertical="center" wrapText="1"/>
    </xf>
    <xf numFmtId="0" fontId="33" fillId="5" borderId="29" xfId="4" applyFont="1" applyFill="1" applyBorder="1" applyAlignment="1">
      <alignment horizontal="left" vertical="center" wrapText="1"/>
    </xf>
    <xf numFmtId="0" fontId="46" fillId="5" borderId="0" xfId="4" applyFont="1" applyFill="1" applyAlignment="1">
      <alignment horizontal="left" vertical="center" wrapText="1"/>
    </xf>
    <xf numFmtId="0" fontId="46" fillId="5" borderId="24" xfId="4" applyFont="1" applyFill="1" applyBorder="1" applyAlignment="1">
      <alignment horizontal="left" vertical="center" wrapText="1"/>
    </xf>
    <xf numFmtId="0" fontId="34" fillId="0" borderId="17" xfId="4" applyFont="1" applyBorder="1" applyAlignment="1">
      <alignment horizontal="center" vertical="center" wrapText="1"/>
    </xf>
    <xf numFmtId="0" fontId="34" fillId="0" borderId="14" xfId="4" applyFont="1" applyBorder="1" applyAlignment="1">
      <alignment horizontal="center" vertical="center" wrapText="1"/>
    </xf>
    <xf numFmtId="0" fontId="46" fillId="5" borderId="1" xfId="4" applyFont="1" applyFill="1" applyBorder="1" applyAlignment="1">
      <alignment horizontal="left" vertical="center" wrapText="1"/>
    </xf>
    <xf numFmtId="0" fontId="46" fillId="5" borderId="29" xfId="4" applyFont="1" applyFill="1" applyBorder="1" applyAlignment="1">
      <alignment horizontal="left" vertical="center" wrapText="1"/>
    </xf>
    <xf numFmtId="0" fontId="33" fillId="5" borderId="31" xfId="4" applyFont="1" applyFill="1" applyBorder="1" applyAlignment="1">
      <alignment horizontal="left" vertical="center" wrapText="1"/>
    </xf>
    <xf numFmtId="0" fontId="33" fillId="5" borderId="0" xfId="4" applyFont="1" applyFill="1" applyAlignment="1">
      <alignment horizontal="left" vertical="center" wrapText="1"/>
    </xf>
    <xf numFmtId="0" fontId="31" fillId="6" borderId="17" xfId="4" applyFont="1" applyFill="1" applyBorder="1" applyAlignment="1">
      <alignment horizontal="center" vertical="center" wrapText="1"/>
    </xf>
    <xf numFmtId="0" fontId="31" fillId="6" borderId="14" xfId="4" applyFont="1" applyFill="1" applyBorder="1" applyAlignment="1">
      <alignment horizontal="center" vertical="center" wrapText="1"/>
    </xf>
    <xf numFmtId="0" fontId="33" fillId="5" borderId="33" xfId="4" applyFont="1" applyFill="1" applyBorder="1" applyAlignment="1">
      <alignment horizontal="left" vertical="center" wrapText="1"/>
    </xf>
    <xf numFmtId="0" fontId="26" fillId="5" borderId="24" xfId="4" applyFont="1" applyFill="1" applyBorder="1" applyAlignment="1">
      <alignment horizontal="left" vertical="center" wrapText="1"/>
    </xf>
    <xf numFmtId="0" fontId="26" fillId="5" borderId="18" xfId="4" applyFont="1" applyFill="1" applyBorder="1" applyAlignment="1">
      <alignment horizontal="left" vertical="center" wrapText="1"/>
    </xf>
    <xf numFmtId="0" fontId="33" fillId="5" borderId="18" xfId="4" applyFont="1" applyFill="1" applyBorder="1" applyAlignment="1">
      <alignment horizontal="left" vertical="center" wrapText="1"/>
    </xf>
    <xf numFmtId="0" fontId="20" fillId="5" borderId="26" xfId="4" applyFont="1" applyFill="1" applyBorder="1" applyAlignment="1">
      <alignment horizontal="left" vertical="center" wrapText="1"/>
    </xf>
    <xf numFmtId="0" fontId="20" fillId="5" borderId="13" xfId="4" applyFont="1" applyFill="1" applyBorder="1" applyAlignment="1">
      <alignment horizontal="left" vertical="center" wrapText="1"/>
    </xf>
    <xf numFmtId="0" fontId="20" fillId="0" borderId="12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20" fillId="5" borderId="39" xfId="4" applyFont="1" applyFill="1" applyBorder="1" applyAlignment="1">
      <alignment horizontal="left" vertical="center" wrapText="1"/>
    </xf>
    <xf numFmtId="0" fontId="20" fillId="5" borderId="43" xfId="4" applyFont="1" applyFill="1" applyBorder="1" applyAlignment="1">
      <alignment horizontal="left" vertical="center" wrapText="1"/>
    </xf>
    <xf numFmtId="0" fontId="23" fillId="6" borderId="17" xfId="4" applyFont="1" applyFill="1" applyBorder="1" applyAlignment="1">
      <alignment horizontal="center" vertical="center" wrapText="1"/>
    </xf>
    <xf numFmtId="0" fontId="23" fillId="6" borderId="14" xfId="4" applyFont="1" applyFill="1" applyBorder="1" applyAlignment="1">
      <alignment horizontal="center" vertical="center" wrapText="1"/>
    </xf>
    <xf numFmtId="0" fontId="20" fillId="5" borderId="15" xfId="4" applyFont="1" applyFill="1" applyBorder="1" applyAlignment="1">
      <alignment horizontal="left" vertical="center" wrapText="1"/>
    </xf>
    <xf numFmtId="0" fontId="20" fillId="5" borderId="16" xfId="4" applyFont="1" applyFill="1" applyBorder="1" applyAlignment="1">
      <alignment horizontal="left" vertical="center" wrapText="1"/>
    </xf>
    <xf numFmtId="0" fontId="23" fillId="6" borderId="12" xfId="4" applyFont="1" applyFill="1" applyBorder="1" applyAlignment="1">
      <alignment horizontal="center" vertical="center" wrapText="1"/>
    </xf>
    <xf numFmtId="0" fontId="20" fillId="6" borderId="17" xfId="4" applyFont="1" applyFill="1" applyBorder="1" applyAlignment="1">
      <alignment horizontal="center" vertical="center" wrapText="1"/>
    </xf>
    <xf numFmtId="0" fontId="20" fillId="6" borderId="12" xfId="4" applyFont="1" applyFill="1" applyBorder="1" applyAlignment="1">
      <alignment horizontal="center" vertical="center" wrapText="1"/>
    </xf>
    <xf numFmtId="0" fontId="20" fillId="6" borderId="14" xfId="4" applyFont="1" applyFill="1" applyBorder="1" applyAlignment="1">
      <alignment horizontal="center" vertical="center" wrapText="1"/>
    </xf>
    <xf numFmtId="0" fontId="20" fillId="5" borderId="29" xfId="4" applyFont="1" applyFill="1" applyBorder="1" applyAlignment="1">
      <alignment horizontal="left" vertical="center" wrapText="1"/>
    </xf>
    <xf numFmtId="0" fontId="20" fillId="5" borderId="24" xfId="4" applyFont="1" applyFill="1" applyBorder="1" applyAlignment="1">
      <alignment horizontal="left" vertical="center" wrapText="1"/>
    </xf>
    <xf numFmtId="0" fontId="20" fillId="5" borderId="0" xfId="4" applyFont="1" applyFill="1" applyAlignment="1">
      <alignment horizontal="left" vertical="center" wrapText="1"/>
    </xf>
    <xf numFmtId="0" fontId="20" fillId="5" borderId="1" xfId="4" applyFont="1" applyFill="1" applyBorder="1" applyAlignment="1">
      <alignment horizontal="left" vertical="center" wrapText="1"/>
    </xf>
    <xf numFmtId="0" fontId="23" fillId="6" borderId="6" xfId="4" applyFont="1" applyFill="1" applyBorder="1" applyAlignment="1">
      <alignment horizontal="center" vertical="center" wrapText="1"/>
    </xf>
    <xf numFmtId="0" fontId="20" fillId="5" borderId="33" xfId="4" applyFont="1" applyFill="1" applyBorder="1" applyAlignment="1">
      <alignment horizontal="left" vertical="center" wrapText="1"/>
    </xf>
    <xf numFmtId="0" fontId="34" fillId="5" borderId="13" xfId="4" applyFont="1" applyFill="1" applyBorder="1" applyAlignment="1">
      <alignment horizontal="left" vertical="center" wrapText="1"/>
    </xf>
    <xf numFmtId="0" fontId="34" fillId="5" borderId="37" xfId="4" applyFont="1" applyFill="1" applyBorder="1" applyAlignment="1">
      <alignment horizontal="left" vertical="center" wrapText="1"/>
    </xf>
    <xf numFmtId="0" fontId="34" fillId="5" borderId="0" xfId="4" applyFont="1" applyFill="1" applyAlignment="1">
      <alignment horizontal="left" vertical="center" wrapText="1"/>
    </xf>
    <xf numFmtId="0" fontId="34" fillId="5" borderId="23" xfId="4" applyFont="1" applyFill="1" applyBorder="1" applyAlignment="1">
      <alignment horizontal="left" vertical="center" wrapText="1"/>
    </xf>
    <xf numFmtId="0" fontId="20" fillId="5" borderId="37" xfId="4" applyFont="1" applyFill="1" applyBorder="1" applyAlignment="1">
      <alignment horizontal="left" vertical="center" wrapText="1"/>
    </xf>
    <xf numFmtId="0" fontId="23" fillId="0" borderId="17" xfId="4" applyFont="1" applyBorder="1" applyAlignment="1">
      <alignment horizontal="left" vertical="center" wrapText="1"/>
    </xf>
    <xf numFmtId="0" fontId="23" fillId="0" borderId="12" xfId="4" applyFont="1" applyBorder="1" applyAlignment="1">
      <alignment horizontal="left" vertical="center" wrapText="1"/>
    </xf>
    <xf numFmtId="0" fontId="23" fillId="0" borderId="14" xfId="4" applyFont="1" applyBorder="1" applyAlignment="1">
      <alignment horizontal="left" vertical="center" wrapText="1"/>
    </xf>
    <xf numFmtId="0" fontId="20" fillId="5" borderId="31" xfId="4" applyFont="1" applyFill="1" applyBorder="1" applyAlignment="1">
      <alignment horizontal="left" vertical="center" wrapText="1"/>
    </xf>
    <xf numFmtId="0" fontId="20" fillId="5" borderId="20" xfId="4" applyFont="1" applyFill="1" applyBorder="1" applyAlignment="1">
      <alignment horizontal="left" vertical="center" wrapText="1"/>
    </xf>
    <xf numFmtId="0" fontId="20" fillId="5" borderId="21" xfId="4" applyFont="1" applyFill="1" applyBorder="1" applyAlignment="1">
      <alignment horizontal="left" vertical="center" wrapText="1"/>
    </xf>
    <xf numFmtId="0" fontId="20" fillId="5" borderId="25" xfId="4" applyFont="1" applyFill="1" applyBorder="1" applyAlignment="1">
      <alignment horizontal="left" vertical="center" wrapText="1"/>
    </xf>
    <xf numFmtId="0" fontId="20" fillId="6" borderId="22" xfId="4" applyFont="1" applyFill="1" applyBorder="1" applyAlignment="1">
      <alignment horizontal="center" vertical="center" wrapText="1"/>
    </xf>
    <xf numFmtId="0" fontId="20" fillId="6" borderId="16" xfId="4" applyFont="1" applyFill="1" applyBorder="1" applyAlignment="1">
      <alignment horizontal="center" vertical="center" wrapText="1"/>
    </xf>
    <xf numFmtId="0" fontId="23" fillId="0" borderId="16" xfId="2" applyFont="1" applyBorder="1" applyAlignment="1">
      <alignment horizontal="left" vertical="center" wrapText="1"/>
    </xf>
    <xf numFmtId="0" fontId="23" fillId="0" borderId="25" xfId="2" applyFont="1" applyBorder="1" applyAlignment="1">
      <alignment horizontal="left" vertical="center" wrapText="1"/>
    </xf>
    <xf numFmtId="0" fontId="34" fillId="5" borderId="24" xfId="4" applyFont="1" applyFill="1" applyBorder="1" applyAlignment="1">
      <alignment horizontal="left" vertical="center" wrapText="1"/>
    </xf>
    <xf numFmtId="0" fontId="34" fillId="5" borderId="18" xfId="4" applyFont="1" applyFill="1" applyBorder="1" applyAlignment="1">
      <alignment horizontal="left" vertical="center" wrapText="1"/>
    </xf>
    <xf numFmtId="0" fontId="20" fillId="5" borderId="32" xfId="4" applyFont="1" applyFill="1" applyBorder="1" applyAlignment="1">
      <alignment horizontal="left" vertical="center" wrapText="1"/>
    </xf>
    <xf numFmtId="49" fontId="23" fillId="0" borderId="17" xfId="4" applyNumberFormat="1" applyFont="1" applyBorder="1" applyAlignment="1">
      <alignment horizontal="center" vertical="center" wrapText="1"/>
    </xf>
    <xf numFmtId="49" fontId="23" fillId="0" borderId="12" xfId="4" applyNumberFormat="1" applyFont="1" applyBorder="1" applyAlignment="1">
      <alignment horizontal="center" vertical="center" wrapText="1"/>
    </xf>
    <xf numFmtId="49" fontId="23" fillId="6" borderId="17" xfId="4" applyNumberFormat="1" applyFont="1" applyFill="1" applyBorder="1" applyAlignment="1">
      <alignment horizontal="center" vertical="center" wrapText="1"/>
    </xf>
    <xf numFmtId="49" fontId="23" fillId="6" borderId="12" xfId="4" applyNumberFormat="1" applyFont="1" applyFill="1" applyBorder="1" applyAlignment="1">
      <alignment horizontal="center" vertical="center" wrapText="1"/>
    </xf>
    <xf numFmtId="49" fontId="23" fillId="6" borderId="14" xfId="4" applyNumberFormat="1" applyFont="1" applyFill="1" applyBorder="1" applyAlignment="1">
      <alignment horizontal="center" vertical="center" wrapText="1"/>
    </xf>
    <xf numFmtId="0" fontId="46" fillId="5" borderId="21" xfId="4" applyFont="1" applyFill="1" applyBorder="1" applyAlignment="1">
      <alignment horizontal="left" vertical="center" wrapText="1"/>
    </xf>
    <xf numFmtId="0" fontId="33" fillId="5" borderId="32" xfId="4" applyFont="1" applyFill="1" applyBorder="1" applyAlignment="1">
      <alignment horizontal="left" vertical="center" wrapText="1"/>
    </xf>
    <xf numFmtId="0" fontId="33" fillId="5" borderId="21" xfId="4" applyFont="1" applyFill="1" applyBorder="1" applyAlignment="1">
      <alignment horizontal="left" vertical="center" wrapText="1"/>
    </xf>
    <xf numFmtId="0" fontId="33" fillId="6" borderId="22" xfId="4" applyFont="1" applyFill="1" applyBorder="1" applyAlignment="1">
      <alignment horizontal="center" vertical="center" wrapText="1"/>
    </xf>
    <xf numFmtId="0" fontId="33" fillId="6" borderId="8" xfId="4" applyFont="1" applyFill="1" applyBorder="1" applyAlignment="1">
      <alignment horizontal="center" vertical="center" wrapText="1"/>
    </xf>
    <xf numFmtId="0" fontId="26" fillId="5" borderId="13" xfId="4" applyFont="1" applyFill="1" applyBorder="1" applyAlignment="1">
      <alignment horizontal="left" vertical="center" wrapText="1"/>
    </xf>
    <xf numFmtId="0" fontId="26" fillId="5" borderId="21" xfId="4" applyFont="1" applyFill="1" applyBorder="1" applyAlignment="1">
      <alignment horizontal="left" vertical="center" wrapText="1"/>
    </xf>
    <xf numFmtId="0" fontId="41" fillId="0" borderId="34" xfId="2" applyFont="1" applyBorder="1" applyAlignment="1">
      <alignment horizontal="center" vertical="center" wrapText="1"/>
    </xf>
    <xf numFmtId="0" fontId="41" fillId="0" borderId="7" xfId="2" applyFont="1" applyBorder="1" applyAlignment="1">
      <alignment horizontal="center" vertical="center" wrapText="1"/>
    </xf>
    <xf numFmtId="0" fontId="33" fillId="5" borderId="22" xfId="4" applyFont="1" applyFill="1" applyBorder="1" applyAlignment="1">
      <alignment horizontal="center" vertical="center" wrapText="1"/>
    </xf>
    <xf numFmtId="0" fontId="33" fillId="5" borderId="23" xfId="4" applyFont="1" applyFill="1" applyBorder="1" applyAlignment="1">
      <alignment horizontal="center" vertical="center" wrapText="1"/>
    </xf>
    <xf numFmtId="0" fontId="33" fillId="5" borderId="20" xfId="4" applyFont="1" applyFill="1" applyBorder="1" applyAlignment="1">
      <alignment horizontal="left" vertical="center" wrapText="1"/>
    </xf>
    <xf numFmtId="0" fontId="46" fillId="5" borderId="13" xfId="4" applyFont="1" applyFill="1" applyBorder="1" applyAlignment="1">
      <alignment horizontal="left" vertical="center" wrapText="1"/>
    </xf>
    <xf numFmtId="0" fontId="33" fillId="5" borderId="13" xfId="4" applyFont="1" applyFill="1" applyBorder="1" applyAlignment="1">
      <alignment horizontal="left" vertical="center" wrapText="1"/>
    </xf>
    <xf numFmtId="0" fontId="33" fillId="5" borderId="41" xfId="4" applyFont="1" applyFill="1" applyBorder="1" applyAlignment="1">
      <alignment horizontal="left" vertical="center" wrapText="1"/>
    </xf>
    <xf numFmtId="0" fontId="33" fillId="5" borderId="49" xfId="4" applyFont="1" applyFill="1" applyBorder="1" applyAlignment="1">
      <alignment horizontal="left" vertical="center" wrapText="1"/>
    </xf>
    <xf numFmtId="0" fontId="46" fillId="5" borderId="41" xfId="4" applyFont="1" applyFill="1" applyBorder="1" applyAlignment="1">
      <alignment horizontal="left" vertical="center" wrapText="1"/>
    </xf>
    <xf numFmtId="0" fontId="46" fillId="5" borderId="42" xfId="4" applyFont="1" applyFill="1" applyBorder="1" applyAlignment="1">
      <alignment horizontal="left" vertical="center" wrapText="1"/>
    </xf>
    <xf numFmtId="0" fontId="33" fillId="5" borderId="26" xfId="4" applyFont="1" applyFill="1" applyBorder="1" applyAlignment="1">
      <alignment horizontal="left" vertical="center" wrapText="1"/>
    </xf>
    <xf numFmtId="0" fontId="40" fillId="6" borderId="22" xfId="4" applyFont="1" applyFill="1" applyBorder="1" applyAlignment="1">
      <alignment horizontal="center" vertical="center" wrapText="1"/>
    </xf>
    <xf numFmtId="0" fontId="40" fillId="6" borderId="16" xfId="4" applyFont="1" applyFill="1" applyBorder="1" applyAlignment="1">
      <alignment horizontal="center" vertical="center" wrapText="1"/>
    </xf>
    <xf numFmtId="49" fontId="6" fillId="6" borderId="17" xfId="4" applyNumberFormat="1" applyFont="1" applyFill="1" applyBorder="1" applyAlignment="1">
      <alignment horizontal="center" vertical="center" wrapText="1"/>
    </xf>
    <xf numFmtId="49" fontId="6" fillId="6" borderId="14" xfId="4" applyNumberFormat="1" applyFont="1" applyFill="1" applyBorder="1" applyAlignment="1">
      <alignment horizontal="center" vertical="center" wrapText="1"/>
    </xf>
    <xf numFmtId="0" fontId="6" fillId="6" borderId="17" xfId="4" quotePrefix="1" applyFont="1" applyFill="1" applyBorder="1" applyAlignment="1">
      <alignment horizontal="left" vertical="center" wrapText="1"/>
    </xf>
    <xf numFmtId="0" fontId="6" fillId="6" borderId="14" xfId="4" quotePrefix="1" applyFont="1" applyFill="1" applyBorder="1" applyAlignment="1">
      <alignment horizontal="left" vertical="center" wrapText="1"/>
    </xf>
    <xf numFmtId="0" fontId="33" fillId="6" borderId="17" xfId="4" applyFont="1" applyFill="1" applyBorder="1" applyAlignment="1">
      <alignment horizontal="center" vertical="center" wrapText="1"/>
    </xf>
    <xf numFmtId="0" fontId="33" fillId="6" borderId="12" xfId="4" applyFont="1" applyFill="1" applyBorder="1" applyAlignment="1">
      <alignment horizontal="center" vertical="center" wrapText="1"/>
    </xf>
    <xf numFmtId="0" fontId="33" fillId="6" borderId="6" xfId="4" applyFont="1" applyFill="1" applyBorder="1" applyAlignment="1">
      <alignment horizontal="center" vertical="center" wrapText="1"/>
    </xf>
    <xf numFmtId="0" fontId="26" fillId="6" borderId="17" xfId="4" applyFont="1" applyFill="1" applyBorder="1" applyAlignment="1">
      <alignment horizontal="center" vertical="center" wrapText="1"/>
    </xf>
    <xf numFmtId="0" fontId="26" fillId="6" borderId="12" xfId="4" applyFont="1" applyFill="1" applyBorder="1" applyAlignment="1">
      <alignment horizontal="center" vertical="center" wrapText="1"/>
    </xf>
    <xf numFmtId="0" fontId="27" fillId="0" borderId="17" xfId="4" quotePrefix="1" applyFont="1" applyBorder="1" applyAlignment="1">
      <alignment horizontal="left" vertical="center" wrapText="1"/>
    </xf>
    <xf numFmtId="0" fontId="27" fillId="0" borderId="14" xfId="4" quotePrefix="1" applyFont="1" applyBorder="1" applyAlignment="1">
      <alignment horizontal="left" vertical="center" wrapText="1"/>
    </xf>
    <xf numFmtId="0" fontId="33" fillId="0" borderId="20" xfId="4" applyFont="1" applyBorder="1" applyAlignment="1">
      <alignment horizontal="center" vertical="center" wrapText="1"/>
    </xf>
    <xf numFmtId="0" fontId="33" fillId="0" borderId="3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left" vertical="center" wrapText="1"/>
    </xf>
    <xf numFmtId="0" fontId="6" fillId="6" borderId="17" xfId="4" applyFont="1" applyFill="1" applyBorder="1" applyAlignment="1">
      <alignment horizontal="center" vertical="center" wrapText="1"/>
    </xf>
    <xf numFmtId="0" fontId="6" fillId="6" borderId="14" xfId="4" applyFont="1" applyFill="1" applyBorder="1" applyAlignment="1">
      <alignment horizontal="center" vertical="center" wrapText="1"/>
    </xf>
    <xf numFmtId="0" fontId="16" fillId="0" borderId="12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34" fillId="5" borderId="26" xfId="4" applyFont="1" applyFill="1" applyBorder="1" applyAlignment="1">
      <alignment horizontal="left" vertical="center" wrapText="1"/>
    </xf>
    <xf numFmtId="0" fontId="34" fillId="5" borderId="31" xfId="4" applyFont="1" applyFill="1" applyBorder="1" applyAlignment="1">
      <alignment horizontal="left" vertical="center" wrapText="1"/>
    </xf>
    <xf numFmtId="0" fontId="34" fillId="5" borderId="29" xfId="4" applyFont="1" applyFill="1" applyBorder="1" applyAlignment="1">
      <alignment horizontal="left" vertical="center" wrapText="1"/>
    </xf>
    <xf numFmtId="0" fontId="26" fillId="5" borderId="31" xfId="4" applyFont="1" applyFill="1" applyBorder="1" applyAlignment="1">
      <alignment horizontal="left" vertical="center" wrapText="1"/>
    </xf>
    <xf numFmtId="0" fontId="26" fillId="5" borderId="29" xfId="4" applyFont="1" applyFill="1" applyBorder="1" applyAlignment="1">
      <alignment horizontal="left" vertical="center" wrapText="1"/>
    </xf>
    <xf numFmtId="0" fontId="33" fillId="5" borderId="15" xfId="4" applyFont="1" applyFill="1" applyBorder="1" applyAlignment="1">
      <alignment horizontal="left" vertical="center" wrapText="1"/>
    </xf>
    <xf numFmtId="0" fontId="20" fillId="5" borderId="52" xfId="4" applyFont="1" applyFill="1" applyBorder="1" applyAlignment="1">
      <alignment horizontal="left" vertical="center" wrapText="1"/>
    </xf>
    <xf numFmtId="0" fontId="20" fillId="5" borderId="53" xfId="4" applyFont="1" applyFill="1" applyBorder="1" applyAlignment="1">
      <alignment horizontal="left" vertical="center" wrapText="1"/>
    </xf>
    <xf numFmtId="0" fontId="23" fillId="6" borderId="3" xfId="4" applyFont="1" applyFill="1" applyBorder="1" applyAlignment="1">
      <alignment horizontal="center" vertical="center" wrapText="1"/>
    </xf>
    <xf numFmtId="0" fontId="20" fillId="5" borderId="28" xfId="4" applyFont="1" applyFill="1" applyBorder="1" applyAlignment="1">
      <alignment horizontal="left" vertical="center" wrapText="1"/>
    </xf>
    <xf numFmtId="0" fontId="28" fillId="6" borderId="17" xfId="4" applyFont="1" applyFill="1" applyBorder="1" applyAlignment="1">
      <alignment horizontal="center" vertical="center" wrapText="1"/>
    </xf>
    <xf numFmtId="0" fontId="28" fillId="6" borderId="12" xfId="4" applyFont="1" applyFill="1" applyBorder="1" applyAlignment="1">
      <alignment horizontal="center" vertical="center" wrapText="1"/>
    </xf>
    <xf numFmtId="0" fontId="28" fillId="6" borderId="14" xfId="4" applyFont="1" applyFill="1" applyBorder="1" applyAlignment="1">
      <alignment horizontal="center" vertical="center" wrapText="1"/>
    </xf>
    <xf numFmtId="0" fontId="55" fillId="5" borderId="20" xfId="4" applyFont="1" applyFill="1" applyBorder="1" applyAlignment="1">
      <alignment horizontal="left" vertical="center"/>
    </xf>
    <xf numFmtId="0" fontId="5" fillId="0" borderId="21" xfId="2" applyFont="1" applyBorder="1" applyAlignment="1">
      <alignment horizontal="left" vertical="center"/>
    </xf>
    <xf numFmtId="0" fontId="59" fillId="5" borderId="15" xfId="4" applyFont="1" applyFill="1" applyBorder="1" applyAlignment="1">
      <alignment horizontal="left" vertical="center"/>
    </xf>
    <xf numFmtId="0" fontId="36" fillId="0" borderId="24" xfId="2" applyFont="1" applyBorder="1" applyAlignment="1">
      <alignment horizontal="left" vertical="center"/>
    </xf>
    <xf numFmtId="0" fontId="59" fillId="5" borderId="31" xfId="4" applyFont="1" applyFill="1" applyBorder="1" applyAlignment="1">
      <alignment horizontal="left" vertical="center"/>
    </xf>
    <xf numFmtId="0" fontId="36" fillId="0" borderId="29" xfId="2" applyFont="1" applyBorder="1" applyAlignment="1">
      <alignment horizontal="left" vertical="center"/>
    </xf>
    <xf numFmtId="0" fontId="63" fillId="0" borderId="0" xfId="2" applyFont="1" applyAlignment="1">
      <alignment horizontal="left" vertical="center" wrapText="1"/>
    </xf>
    <xf numFmtId="0" fontId="26" fillId="5" borderId="26" xfId="4" applyFont="1" applyFill="1" applyBorder="1" applyAlignment="1">
      <alignment horizontal="left" vertical="center" wrapText="1"/>
    </xf>
    <xf numFmtId="0" fontId="26" fillId="5" borderId="34" xfId="4" applyFont="1" applyFill="1" applyBorder="1" applyAlignment="1">
      <alignment horizontal="left" vertical="center" wrapText="1"/>
    </xf>
    <xf numFmtId="0" fontId="26" fillId="5" borderId="0" xfId="4" applyFont="1" applyFill="1" applyAlignment="1">
      <alignment horizontal="left" vertical="center" wrapText="1"/>
    </xf>
    <xf numFmtId="0" fontId="51" fillId="2" borderId="10" xfId="4" applyFont="1" applyFill="1" applyBorder="1" applyAlignment="1">
      <alignment horizontal="center" vertical="center" wrapText="1"/>
    </xf>
    <xf numFmtId="0" fontId="51" fillId="2" borderId="11" xfId="4" applyFont="1" applyFill="1" applyBorder="1" applyAlignment="1">
      <alignment horizontal="center" vertical="center" wrapText="1"/>
    </xf>
    <xf numFmtId="0" fontId="33" fillId="5" borderId="4" xfId="4" applyFont="1" applyFill="1" applyBorder="1" applyAlignment="1">
      <alignment horizontal="left" vertical="center" wrapText="1"/>
    </xf>
    <xf numFmtId="0" fontId="11" fillId="0" borderId="3" xfId="4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3" fillId="5" borderId="37" xfId="4" applyFont="1" applyFill="1" applyBorder="1" applyAlignment="1">
      <alignment horizontal="left" vertical="center" wrapText="1"/>
    </xf>
    <xf numFmtId="10" fontId="33" fillId="6" borderId="34" xfId="4" applyNumberFormat="1" applyFont="1" applyFill="1" applyBorder="1" applyAlignment="1">
      <alignment horizontal="left" vertical="center" wrapText="1"/>
    </xf>
    <xf numFmtId="10" fontId="0" fillId="0" borderId="28" xfId="0" applyNumberFormat="1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0" fontId="33" fillId="5" borderId="7" xfId="4" applyFont="1" applyFill="1" applyBorder="1" applyAlignment="1">
      <alignment horizontal="left" vertical="center" wrapText="1"/>
    </xf>
    <xf numFmtId="0" fontId="33" fillId="5" borderId="1" xfId="4" applyFont="1" applyFill="1" applyBorder="1" applyAlignment="1">
      <alignment horizontal="left" vertical="center" wrapText="1"/>
    </xf>
    <xf numFmtId="0" fontId="37" fillId="0" borderId="12" xfId="4" applyFont="1" applyBorder="1" applyAlignment="1">
      <alignment horizontal="center" vertical="center" wrapText="1"/>
    </xf>
    <xf numFmtId="0" fontId="37" fillId="0" borderId="6" xfId="4" applyFont="1" applyBorder="1" applyAlignment="1">
      <alignment horizontal="center" vertical="center" wrapText="1"/>
    </xf>
    <xf numFmtId="0" fontId="26" fillId="0" borderId="34" xfId="4" applyFont="1" applyBorder="1" applyAlignment="1">
      <alignment horizontal="center" vertical="center" wrapText="1"/>
    </xf>
    <xf numFmtId="0" fontId="26" fillId="0" borderId="28" xfId="4" applyFont="1" applyBorder="1" applyAlignment="1">
      <alignment horizontal="center" vertical="center" wrapText="1"/>
    </xf>
    <xf numFmtId="0" fontId="26" fillId="0" borderId="15" xfId="4" applyFont="1" applyBorder="1" applyAlignment="1">
      <alignment horizontal="center" vertical="center" wrapText="1"/>
    </xf>
    <xf numFmtId="49" fontId="27" fillId="0" borderId="17" xfId="4" applyNumberFormat="1" applyFont="1" applyBorder="1" applyAlignment="1">
      <alignment horizontal="center" vertical="center" wrapText="1"/>
    </xf>
    <xf numFmtId="49" fontId="27" fillId="0" borderId="12" xfId="4" applyNumberFormat="1" applyFont="1" applyBorder="1" applyAlignment="1">
      <alignment horizontal="center" vertical="center" wrapText="1"/>
    </xf>
    <xf numFmtId="49" fontId="27" fillId="0" borderId="14" xfId="4" applyNumberFormat="1" applyFont="1" applyBorder="1" applyAlignment="1">
      <alignment horizontal="center" vertical="center" wrapText="1"/>
    </xf>
    <xf numFmtId="0" fontId="20" fillId="0" borderId="0" xfId="9" applyFont="1" applyAlignment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/>
      <protection locked="0"/>
    </xf>
    <xf numFmtId="0" fontId="20" fillId="0" borderId="20" xfId="9" applyFont="1" applyBorder="1" applyAlignment="1">
      <alignment horizontal="left" vertical="center" wrapText="1"/>
    </xf>
    <xf numFmtId="0" fontId="20" fillId="0" borderId="21" xfId="8" applyNumberFormat="1" applyFont="1" applyFill="1" applyBorder="1" applyAlignment="1" applyProtection="1">
      <alignment horizontal="left" vertical="center"/>
      <protection locked="0"/>
    </xf>
    <xf numFmtId="0" fontId="23" fillId="0" borderId="20" xfId="9" applyFont="1" applyBorder="1" applyAlignment="1">
      <alignment horizontal="left" vertical="center"/>
    </xf>
    <xf numFmtId="0" fontId="23" fillId="0" borderId="21" xfId="8" applyNumberFormat="1" applyFont="1" applyFill="1" applyBorder="1" applyAlignment="1" applyProtection="1">
      <alignment horizontal="left" vertical="center"/>
      <protection locked="0"/>
    </xf>
    <xf numFmtId="0" fontId="23" fillId="0" borderId="20" xfId="9" applyFont="1" applyBorder="1" applyAlignment="1">
      <alignment horizontal="left" vertical="center" wrapText="1"/>
    </xf>
    <xf numFmtId="0" fontId="23" fillId="0" borderId="34" xfId="9" applyFont="1" applyBorder="1" applyAlignment="1">
      <alignment horizontal="left" vertical="center"/>
    </xf>
    <xf numFmtId="0" fontId="23" fillId="0" borderId="18" xfId="8" applyNumberFormat="1" applyFont="1" applyFill="1" applyBorder="1" applyAlignment="1" applyProtection="1">
      <alignment horizontal="left" vertical="center"/>
      <protection locked="0"/>
    </xf>
    <xf numFmtId="0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9" fillId="12" borderId="10" xfId="9" applyFont="1" applyFill="1" applyBorder="1" applyAlignment="1">
      <alignment horizontal="left" vertical="center"/>
    </xf>
    <xf numFmtId="0" fontId="19" fillId="12" borderId="11" xfId="8" applyNumberFormat="1" applyFont="1" applyFill="1" applyBorder="1" applyAlignment="1" applyProtection="1">
      <alignment horizontal="left" vertical="center"/>
      <protection locked="0"/>
    </xf>
    <xf numFmtId="0" fontId="23" fillId="0" borderId="26" xfId="9" applyFont="1" applyBorder="1" applyAlignment="1">
      <alignment horizontal="left" vertical="center"/>
    </xf>
    <xf numFmtId="0" fontId="23" fillId="0" borderId="13" xfId="8" applyNumberFormat="1" applyFont="1" applyFill="1" applyBorder="1" applyAlignment="1" applyProtection="1">
      <alignment horizontal="left" vertical="center"/>
      <protection locked="0"/>
    </xf>
    <xf numFmtId="0" fontId="23" fillId="0" borderId="37" xfId="8" applyNumberFormat="1" applyFont="1" applyFill="1" applyBorder="1" applyAlignment="1" applyProtection="1">
      <alignment horizontal="left" vertical="center"/>
      <protection locked="0"/>
    </xf>
    <xf numFmtId="0" fontId="20" fillId="0" borderId="25" xfId="8" applyNumberFormat="1" applyFont="1" applyFill="1" applyBorder="1" applyAlignment="1" applyProtection="1">
      <alignment horizontal="left" vertical="center"/>
      <protection locked="0"/>
    </xf>
    <xf numFmtId="0" fontId="23" fillId="0" borderId="25" xfId="8" applyNumberFormat="1" applyFont="1" applyFill="1" applyBorder="1" applyAlignment="1" applyProtection="1">
      <alignment horizontal="left" vertical="center"/>
      <protection locked="0"/>
    </xf>
    <xf numFmtId="0" fontId="23" fillId="0" borderId="31" xfId="9" applyFont="1" applyBorder="1" applyAlignment="1">
      <alignment horizontal="left" vertical="center"/>
    </xf>
    <xf numFmtId="0" fontId="23" fillId="0" borderId="29" xfId="8" applyNumberFormat="1" applyFont="1" applyFill="1" applyBorder="1" applyAlignment="1" applyProtection="1">
      <alignment horizontal="left" vertical="center"/>
      <protection locked="0"/>
    </xf>
    <xf numFmtId="0" fontId="23" fillId="0" borderId="33" xfId="8" applyNumberFormat="1" applyFont="1" applyFill="1" applyBorder="1" applyAlignment="1" applyProtection="1">
      <alignment horizontal="left" vertical="center"/>
      <protection locked="0"/>
    </xf>
    <xf numFmtId="49" fontId="12" fillId="18" borderId="61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60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76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10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11" xfId="8" applyNumberFormat="1" applyFont="1" applyFill="1" applyBorder="1" applyAlignment="1" applyProtection="1">
      <alignment horizontal="center" vertical="center" wrapText="1"/>
      <protection locked="0"/>
    </xf>
    <xf numFmtId="49" fontId="12" fillId="18" borderId="61" xfId="8" applyNumberFormat="1" applyFont="1" applyFill="1" applyBorder="1" applyAlignment="1" applyProtection="1">
      <alignment horizontal="center" vertical="top" wrapText="1"/>
      <protection locked="0"/>
    </xf>
    <xf numFmtId="49" fontId="12" fillId="18" borderId="60" xfId="8" applyNumberFormat="1" applyFont="1" applyFill="1" applyBorder="1" applyAlignment="1" applyProtection="1">
      <alignment horizontal="center" vertical="top" wrapText="1"/>
      <protection locked="0"/>
    </xf>
    <xf numFmtId="49" fontId="12" fillId="18" borderId="76" xfId="8" applyNumberFormat="1" applyFont="1" applyFill="1" applyBorder="1" applyAlignment="1" applyProtection="1">
      <alignment horizontal="center" vertical="top" wrapText="1"/>
      <protection locked="0"/>
    </xf>
    <xf numFmtId="49" fontId="19" fillId="12" borderId="61" xfId="9" applyNumberFormat="1" applyFont="1" applyFill="1" applyBorder="1" applyAlignment="1">
      <alignment horizontal="left" vertical="center"/>
    </xf>
    <xf numFmtId="49" fontId="19" fillId="12" borderId="60" xfId="9" applyNumberFormat="1" applyFont="1" applyFill="1" applyBorder="1" applyAlignment="1">
      <alignment horizontal="left" vertical="center"/>
    </xf>
    <xf numFmtId="49" fontId="19" fillId="12" borderId="76" xfId="9" applyNumberFormat="1" applyFont="1" applyFill="1" applyBorder="1" applyAlignment="1">
      <alignment horizontal="left" vertical="center"/>
    </xf>
    <xf numFmtId="49" fontId="23" fillId="0" borderId="10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6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101" xfId="8" applyNumberFormat="1" applyFont="1" applyFill="1" applyBorder="1" applyAlignment="1" applyProtection="1">
      <alignment horizontal="left" vertical="center"/>
      <protection locked="0"/>
    </xf>
    <xf numFmtId="0" fontId="20" fillId="0" borderId="100" xfId="8" applyNumberFormat="1" applyFont="1" applyFill="1" applyBorder="1" applyAlignment="1" applyProtection="1">
      <alignment horizontal="left" vertical="center"/>
      <protection locked="0"/>
    </xf>
    <xf numFmtId="49" fontId="20" fillId="16" borderId="101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10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3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8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0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0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8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8" applyNumberFormat="1" applyFont="1" applyFill="1" applyBorder="1" applyAlignment="1" applyProtection="1">
      <alignment horizontal="left" vertical="center" wrapText="1"/>
      <protection locked="0"/>
    </xf>
    <xf numFmtId="0" fontId="23" fillId="0" borderId="15" xfId="9" applyFont="1" applyBorder="1" applyAlignment="1">
      <alignment horizontal="left" vertical="center"/>
    </xf>
    <xf numFmtId="0" fontId="23" fillId="0" borderId="24" xfId="8" applyNumberFormat="1" applyFont="1" applyFill="1" applyBorder="1" applyAlignment="1" applyProtection="1">
      <alignment horizontal="left" vertical="center"/>
      <protection locked="0"/>
    </xf>
    <xf numFmtId="0" fontId="20" fillId="0" borderId="20" xfId="9" applyFont="1" applyBorder="1" applyAlignment="1">
      <alignment horizontal="left" vertical="center"/>
    </xf>
    <xf numFmtId="49" fontId="23" fillId="16" borderId="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81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84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2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2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11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1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09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90" xfId="8" applyNumberFormat="1" applyFont="1" applyFill="1" applyBorder="1" applyAlignment="1" applyProtection="1">
      <alignment horizontal="left" vertical="center"/>
      <protection locked="0"/>
    </xf>
    <xf numFmtId="49" fontId="20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0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05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03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2" xfId="8" applyNumberFormat="1" applyFont="1" applyFill="1" applyBorder="1" applyAlignment="1" applyProtection="1">
      <alignment horizontal="center" vertical="center" wrapText="1"/>
      <protection locked="0"/>
    </xf>
    <xf numFmtId="49" fontId="26" fillId="16" borderId="81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81" xfId="0" applyFont="1" applyBorder="1" applyAlignment="1">
      <alignment horizontal="left" vertical="center" wrapText="1"/>
    </xf>
    <xf numFmtId="49" fontId="12" fillId="19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06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81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90" xfId="8" applyNumberFormat="1" applyFont="1" applyFill="1" applyBorder="1" applyAlignment="1" applyProtection="1">
      <alignment horizontal="left" vertical="center"/>
      <protection locked="0"/>
    </xf>
    <xf numFmtId="49" fontId="33" fillId="16" borderId="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06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8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1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5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26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64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4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1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40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1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90" xfId="8" applyNumberFormat="1" applyFont="1" applyFill="1" applyBorder="1" applyAlignment="1" applyProtection="1">
      <alignment horizontal="left" vertical="center" wrapText="1"/>
      <protection locked="0"/>
    </xf>
    <xf numFmtId="0" fontId="1" fillId="0" borderId="90" xfId="0" applyFont="1" applyBorder="1" applyAlignment="1">
      <alignment horizontal="left" vertical="center" wrapText="1"/>
    </xf>
    <xf numFmtId="49" fontId="6" fillId="16" borderId="119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>
      <alignment horizontal="center" vertical="center" wrapText="1"/>
    </xf>
    <xf numFmtId="49" fontId="11" fillId="16" borderId="104" xfId="8" applyNumberFormat="1" applyFont="1" applyFill="1" applyBorder="1" applyAlignment="1" applyProtection="1">
      <alignment horizontal="left" vertical="center" wrapText="1"/>
      <protection locked="0"/>
    </xf>
    <xf numFmtId="0" fontId="2" fillId="0" borderId="105" xfId="0" applyFont="1" applyBorder="1" applyAlignment="1">
      <alignment horizontal="left" vertical="center" wrapText="1"/>
    </xf>
    <xf numFmtId="49" fontId="6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135" xfId="8" applyNumberFormat="1" applyFont="1" applyFill="1" applyBorder="1" applyAlignment="1" applyProtection="1">
      <alignment horizontal="left" vertical="center" wrapText="1"/>
      <protection locked="0"/>
    </xf>
    <xf numFmtId="0" fontId="1" fillId="0" borderId="106" xfId="0" applyFont="1" applyBorder="1" applyAlignment="1">
      <alignment vertical="center" wrapText="1"/>
    </xf>
    <xf numFmtId="0" fontId="2" fillId="0" borderId="9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49" fontId="6" fillId="16" borderId="170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19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9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7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7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171" xfId="0" applyFont="1" applyBorder="1" applyAlignment="1">
      <alignment vertical="center" wrapText="1"/>
    </xf>
    <xf numFmtId="49" fontId="11" fillId="16" borderId="170" xfId="8" applyNumberFormat="1" applyFont="1" applyFill="1" applyBorder="1" applyAlignment="1" applyProtection="1">
      <alignment horizontal="left" vertical="center" wrapText="1"/>
      <protection locked="0"/>
    </xf>
    <xf numFmtId="0" fontId="2" fillId="0" borderId="170" xfId="0" applyFont="1" applyBorder="1" applyAlignment="1">
      <alignment horizontal="left" vertical="center" wrapText="1"/>
    </xf>
    <xf numFmtId="0" fontId="1" fillId="0" borderId="170" xfId="0" applyFont="1" applyBorder="1" applyAlignment="1">
      <alignment horizontal="left" vertical="center" wrapText="1"/>
    </xf>
    <xf numFmtId="49" fontId="23" fillId="16" borderId="10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189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19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9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90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90" xfId="0" applyFont="1" applyBorder="1" applyAlignment="1">
      <alignment horizontal="left" vertical="center" wrapText="1"/>
    </xf>
    <xf numFmtId="49" fontId="6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182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18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193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144" xfId="8" applyNumberFormat="1" applyFont="1" applyFill="1" applyBorder="1" applyAlignment="1" applyProtection="1">
      <alignment horizontal="left" vertical="center"/>
      <protection locked="0"/>
    </xf>
    <xf numFmtId="49" fontId="20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20" fillId="0" borderId="18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216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9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215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215" xfId="0" applyFont="1" applyBorder="1" applyAlignment="1">
      <alignment horizontal="left" vertical="center" wrapText="1"/>
    </xf>
    <xf numFmtId="49" fontId="23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13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208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20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78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95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9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2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3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2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6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5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135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6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30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229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8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19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9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01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100" xfId="8" applyNumberFormat="1" applyFont="1" applyFill="1" applyBorder="1" applyAlignment="1" applyProtection="1">
      <alignment horizontal="center" vertical="center" wrapText="1"/>
      <protection locked="0"/>
    </xf>
    <xf numFmtId="49" fontId="16" fillId="16" borderId="197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102" xfId="0" applyFont="1" applyBorder="1" applyAlignment="1">
      <alignment vertical="center" wrapText="1"/>
    </xf>
    <xf numFmtId="49" fontId="12" fillId="16" borderId="197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119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87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6" xfId="8" applyNumberFormat="1" applyFont="1" applyFill="1" applyBorder="1" applyAlignment="1" applyProtection="1">
      <alignment horizontal="center" vertical="center" wrapText="1"/>
      <protection locked="0"/>
    </xf>
    <xf numFmtId="0" fontId="65" fillId="0" borderId="197" xfId="0" applyFont="1" applyBorder="1" applyAlignment="1">
      <alignment horizontal="left" vertical="center" wrapText="1"/>
    </xf>
    <xf numFmtId="49" fontId="23" fillId="0" borderId="25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14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4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27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267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287" xfId="8" applyNumberFormat="1" applyFont="1" applyFill="1" applyBorder="1" applyAlignment="1" applyProtection="1">
      <alignment horizontal="left" vertical="center"/>
      <protection locked="0"/>
    </xf>
    <xf numFmtId="49" fontId="33" fillId="16" borderId="30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4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10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1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215" xfId="8" applyNumberFormat="1" applyFont="1" applyFill="1" applyBorder="1" applyAlignment="1" applyProtection="1">
      <alignment horizontal="left" vertical="center" wrapText="1"/>
      <protection locked="0"/>
    </xf>
    <xf numFmtId="0" fontId="8" fillId="0" borderId="215" xfId="0" applyFont="1" applyBorder="1" applyAlignment="1">
      <alignment horizontal="left" vertical="center" wrapText="1"/>
    </xf>
    <xf numFmtId="49" fontId="6" fillId="0" borderId="21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33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90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90" xfId="0" applyFont="1" applyBorder="1" applyAlignment="1">
      <alignment horizontal="left" vertical="center" wrapText="1"/>
    </xf>
    <xf numFmtId="49" fontId="11" fillId="0" borderId="103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0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13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25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3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2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1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11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55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5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51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05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2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8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350" xfId="8" applyNumberFormat="1" applyFont="1" applyFill="1" applyBorder="1" applyAlignment="1" applyProtection="1">
      <alignment horizontal="left" vertical="center"/>
      <protection locked="0"/>
    </xf>
    <xf numFmtId="49" fontId="20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82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81" xfId="0" applyFont="1" applyBorder="1" applyAlignment="1">
      <alignment vertical="center" wrapText="1"/>
    </xf>
    <xf numFmtId="49" fontId="6" fillId="0" borderId="38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7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vertical="center" wrapText="1"/>
    </xf>
    <xf numFmtId="0" fontId="1" fillId="0" borderId="369" xfId="0" applyFont="1" applyBorder="1" applyAlignment="1">
      <alignment horizontal="left" vertical="center" wrapText="1"/>
    </xf>
    <xf numFmtId="49" fontId="33" fillId="16" borderId="350" xfId="8" applyNumberFormat="1" applyFont="1" applyFill="1" applyBorder="1" applyAlignment="1" applyProtection="1">
      <alignment horizontal="left" vertical="center" wrapText="1"/>
      <protection locked="0"/>
    </xf>
    <xf numFmtId="0" fontId="8" fillId="0" borderId="350" xfId="0" applyFont="1" applyBorder="1" applyAlignment="1">
      <alignment horizontal="left" vertical="center" wrapText="1"/>
    </xf>
    <xf numFmtId="49" fontId="11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33" fillId="16" borderId="351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289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38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04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50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26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64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350" xfId="8" applyNumberFormat="1" applyFont="1" applyFill="1" applyBorder="1" applyAlignment="1" applyProtection="1">
      <alignment horizontal="left" vertical="center" wrapText="1"/>
      <protection locked="0"/>
    </xf>
    <xf numFmtId="49" fontId="11" fillId="19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350" xfId="8" applyNumberFormat="1" applyFont="1" applyFill="1" applyBorder="1" applyAlignment="1" applyProtection="1">
      <alignment horizontal="left" vertical="center" wrapText="1"/>
      <protection locked="0"/>
    </xf>
    <xf numFmtId="0" fontId="1" fillId="0" borderId="350" xfId="0" applyFont="1" applyBorder="1" applyAlignment="1">
      <alignment horizontal="left" vertical="center" wrapText="1"/>
    </xf>
    <xf numFmtId="49" fontId="6" fillId="6" borderId="12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12" xfId="8" applyNumberFormat="1" applyFont="1" applyFill="1" applyBorder="1" applyAlignment="1" applyProtection="1">
      <alignment horizontal="center" vertical="center" wrapText="1"/>
      <protection locked="0"/>
    </xf>
    <xf numFmtId="49" fontId="11" fillId="16" borderId="382" xfId="8" applyNumberFormat="1" applyFont="1" applyFill="1" applyBorder="1" applyAlignment="1" applyProtection="1">
      <alignment horizontal="left" wrapText="1"/>
      <protection locked="0"/>
    </xf>
    <xf numFmtId="49" fontId="11" fillId="16" borderId="381" xfId="8" applyNumberFormat="1" applyFont="1" applyFill="1" applyBorder="1" applyAlignment="1" applyProtection="1">
      <alignment horizontal="left" wrapText="1"/>
      <protection locked="0"/>
    </xf>
    <xf numFmtId="49" fontId="6" fillId="0" borderId="36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2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95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39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119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28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04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05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0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384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401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40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390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62" xfId="8" applyNumberFormat="1" applyFont="1" applyFill="1" applyBorder="1" applyAlignment="1" applyProtection="1">
      <alignment horizontal="left" vertical="center" wrapText="1"/>
      <protection locked="0"/>
    </xf>
    <xf numFmtId="0" fontId="61" fillId="0" borderId="390" xfId="0" applyFont="1" applyBorder="1" applyAlignment="1">
      <alignment horizontal="left" vertical="center" wrapText="1"/>
    </xf>
    <xf numFmtId="49" fontId="27" fillId="16" borderId="362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390" xfId="0" applyFont="1" applyBorder="1" applyAlignment="1">
      <alignment horizontal="left" vertical="center" wrapText="1"/>
    </xf>
    <xf numFmtId="49" fontId="11" fillId="0" borderId="15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3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7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424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24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27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16" fillId="0" borderId="109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1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0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11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5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414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1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10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424" xfId="8" applyNumberFormat="1" applyFont="1" applyFill="1" applyBorder="1" applyAlignment="1" applyProtection="1">
      <alignment horizontal="left" vertical="center"/>
      <protection locked="0"/>
    </xf>
    <xf numFmtId="49" fontId="20" fillId="16" borderId="42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11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10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382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381" xfId="0" applyFont="1" applyBorder="1" applyAlignment="1">
      <alignment horizontal="left" vertical="center" wrapText="1"/>
    </xf>
    <xf numFmtId="49" fontId="23" fillId="0" borderId="42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10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410" xfId="8" applyNumberFormat="1" applyFont="1" applyFill="1" applyBorder="1" applyAlignment="1" applyProtection="1">
      <alignment horizontal="left" vertical="center"/>
      <protection locked="0"/>
    </xf>
    <xf numFmtId="49" fontId="20" fillId="16" borderId="41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439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369" xfId="0" applyFont="1" applyBorder="1" applyAlignment="1">
      <alignment horizontal="left" vertical="center" wrapText="1"/>
    </xf>
    <xf numFmtId="0" fontId="39" fillId="0" borderId="424" xfId="0" applyFont="1" applyBorder="1" applyAlignment="1">
      <alignment horizontal="left" vertical="center" wrapText="1"/>
    </xf>
    <xf numFmtId="0" fontId="20" fillId="0" borderId="506" xfId="8" applyNumberFormat="1" applyFont="1" applyFill="1" applyBorder="1" applyAlignment="1" applyProtection="1">
      <alignment horizontal="left" vertical="center"/>
      <protection locked="0"/>
    </xf>
    <xf numFmtId="49" fontId="20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82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424" xfId="8" applyNumberFormat="1" applyFont="1" applyFill="1" applyBorder="1" applyAlignment="1" applyProtection="1">
      <alignment horizontal="left" vertical="center" wrapText="1"/>
      <protection locked="0"/>
    </xf>
    <xf numFmtId="0" fontId="108" fillId="0" borderId="424" xfId="0" applyFont="1" applyBorder="1" applyAlignment="1">
      <alignment horizontal="left" vertical="center" wrapText="1"/>
    </xf>
    <xf numFmtId="49" fontId="27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71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9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506" xfId="0" applyFont="1" applyBorder="1" applyAlignment="1">
      <alignment horizontal="left" vertical="center" wrapText="1"/>
    </xf>
    <xf numFmtId="49" fontId="23" fillId="0" borderId="506" xfId="8" applyNumberFormat="1" applyFont="1" applyFill="1" applyBorder="1" applyAlignment="1" applyProtection="1">
      <alignment horizontal="left" vertical="center" wrapText="1"/>
      <protection locked="0"/>
    </xf>
    <xf numFmtId="49" fontId="27" fillId="0" borderId="506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0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12" xfId="8" applyNumberFormat="1" applyFont="1" applyFill="1" applyBorder="1" applyAlignment="1" applyProtection="1">
      <alignment horizontal="center" vertical="center" wrapText="1"/>
      <protection locked="0"/>
    </xf>
    <xf numFmtId="0" fontId="26" fillId="0" borderId="506" xfId="8" applyNumberFormat="1" applyFont="1" applyFill="1" applyBorder="1" applyAlignment="1" applyProtection="1">
      <alignment horizontal="left" vertical="center"/>
      <protection locked="0"/>
    </xf>
    <xf numFmtId="49" fontId="27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452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67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10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520" xfId="0" applyFont="1" applyBorder="1" applyAlignment="1">
      <alignment horizontal="left" vertical="center" wrapText="1"/>
    </xf>
    <xf numFmtId="49" fontId="19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109" fillId="0" borderId="12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49" fontId="19" fillId="0" borderId="367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11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0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20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06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20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65" fillId="0" borderId="547" xfId="0" applyFont="1" applyBorder="1" applyAlignment="1">
      <alignment horizontal="left" vertical="center" wrapText="1"/>
    </xf>
    <xf numFmtId="49" fontId="11" fillId="0" borderId="385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4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43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3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0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43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476" xfId="8" applyNumberFormat="1" applyFont="1" applyFill="1" applyBorder="1" applyAlignment="1" applyProtection="1">
      <alignment horizontal="left" vertical="center" wrapText="1"/>
      <protection locked="0"/>
    </xf>
    <xf numFmtId="0" fontId="2" fillId="0" borderId="396" xfId="0" applyFont="1" applyBorder="1" applyAlignment="1">
      <alignment horizontal="left" vertical="center" wrapText="1"/>
    </xf>
    <xf numFmtId="49" fontId="6" fillId="16" borderId="525" xfId="8" applyNumberFormat="1" applyFont="1" applyFill="1" applyBorder="1" applyAlignment="1" applyProtection="1">
      <alignment horizontal="left" vertical="center" wrapText="1"/>
      <protection locked="0"/>
    </xf>
    <xf numFmtId="0" fontId="1" fillId="0" borderId="528" xfId="0" applyFont="1" applyBorder="1" applyAlignment="1">
      <alignment horizontal="left" vertical="center" wrapText="1"/>
    </xf>
    <xf numFmtId="49" fontId="23" fillId="16" borderId="54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51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50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110" fillId="0" borderId="547" xfId="0" applyFont="1" applyBorder="1" applyAlignment="1">
      <alignment horizontal="left" vertical="center" wrapText="1"/>
    </xf>
    <xf numFmtId="0" fontId="109" fillId="0" borderId="547" xfId="0" applyFont="1" applyBorder="1" applyAlignment="1">
      <alignment horizontal="left" vertical="center" wrapText="1"/>
    </xf>
    <xf numFmtId="49" fontId="6" fillId="16" borderId="547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369" xfId="8" applyNumberFormat="1" applyFont="1" applyFill="1" applyBorder="1" applyAlignment="1" applyProtection="1">
      <alignment horizontal="left" vertical="center" wrapText="1"/>
      <protection locked="0"/>
    </xf>
    <xf numFmtId="0" fontId="61" fillId="0" borderId="36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6" fillId="16" borderId="0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49" fontId="11" fillId="16" borderId="547" xfId="8" applyNumberFormat="1" applyFont="1" applyFill="1" applyBorder="1" applyAlignment="1" applyProtection="1">
      <alignment horizontal="left" vertical="center" wrapText="1"/>
      <protection locked="0"/>
    </xf>
    <xf numFmtId="0" fontId="2" fillId="0" borderId="547" xfId="0" applyFont="1" applyBorder="1" applyAlignment="1">
      <alignment horizontal="left" vertical="center" wrapText="1"/>
    </xf>
    <xf numFmtId="0" fontId="1" fillId="0" borderId="547" xfId="0" applyFont="1" applyBorder="1" applyAlignment="1">
      <alignment horizontal="left" vertical="center" wrapText="1"/>
    </xf>
    <xf numFmtId="49" fontId="6" fillId="16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33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37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33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7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33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537" xfId="0" applyFont="1" applyBorder="1" applyAlignment="1">
      <alignment horizontal="left" vertical="center" wrapText="1"/>
    </xf>
    <xf numFmtId="49" fontId="6" fillId="0" borderId="547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47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59" xfId="8" applyNumberFormat="1" applyFont="1" applyFill="1" applyBorder="1" applyAlignment="1" applyProtection="1">
      <alignment horizontal="left" vertical="center" wrapText="1"/>
      <protection locked="0"/>
    </xf>
    <xf numFmtId="49" fontId="6" fillId="19" borderId="547" xfId="8" applyNumberFormat="1" applyFont="1" applyFill="1" applyBorder="1" applyAlignment="1" applyProtection="1">
      <alignment horizontal="left" vertical="center" wrapText="1"/>
      <protection locked="0"/>
    </xf>
    <xf numFmtId="0" fontId="2" fillId="0" borderId="369" xfId="0" applyFont="1" applyBorder="1" applyAlignment="1">
      <alignment horizontal="left" vertical="center" wrapText="1"/>
    </xf>
    <xf numFmtId="49" fontId="23" fillId="0" borderId="58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585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586" xfId="8" applyNumberFormat="1" applyFont="1" applyFill="1" applyBorder="1" applyAlignment="1" applyProtection="1">
      <alignment horizontal="left" vertical="center"/>
      <protection locked="0"/>
    </xf>
    <xf numFmtId="0" fontId="20" fillId="0" borderId="585" xfId="8" applyNumberFormat="1" applyFont="1" applyFill="1" applyBorder="1" applyAlignment="1" applyProtection="1">
      <alignment horizontal="left" vertical="center"/>
      <protection locked="0"/>
    </xf>
    <xf numFmtId="49" fontId="20" fillId="16" borderId="382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38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82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581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2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150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1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34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52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10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8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585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586" xfId="8" applyNumberFormat="1" applyFont="1" applyFill="1" applyBorder="1" applyAlignment="1" applyProtection="1">
      <alignment horizontal="left" vertical="center"/>
      <protection locked="0"/>
    </xf>
    <xf numFmtId="0" fontId="33" fillId="0" borderId="585" xfId="8" applyNumberFormat="1" applyFont="1" applyFill="1" applyBorder="1" applyAlignment="1" applyProtection="1">
      <alignment horizontal="left" vertical="center"/>
      <protection locked="0"/>
    </xf>
    <xf numFmtId="49" fontId="33" fillId="16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528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586" xfId="8" applyNumberFormat="1" applyFont="1" applyFill="1" applyBorder="1" applyAlignment="1" applyProtection="1">
      <alignment horizontal="left" vertical="center" wrapText="1"/>
      <protection locked="0"/>
    </xf>
    <xf numFmtId="0" fontId="8" fillId="0" borderId="585" xfId="0" applyFont="1" applyBorder="1" applyAlignment="1">
      <alignment horizontal="left" vertical="center" wrapText="1"/>
    </xf>
    <xf numFmtId="49" fontId="23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586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58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5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35" xfId="8" applyNumberFormat="1" applyFont="1" applyFill="1" applyBorder="1" applyAlignment="1" applyProtection="1">
      <alignment horizontal="left" vertical="center"/>
      <protection locked="0"/>
    </xf>
    <xf numFmtId="49" fontId="3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33" fillId="0" borderId="369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0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4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38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5" xfId="8" applyNumberFormat="1" applyFont="1" applyFill="1" applyBorder="1" applyAlignment="1" applyProtection="1">
      <alignment horizontal="left" vertical="center" wrapText="1"/>
      <protection locked="0"/>
    </xf>
    <xf numFmtId="0" fontId="8" fillId="0" borderId="369" xfId="0" applyFont="1" applyBorder="1" applyAlignment="1">
      <alignment horizontal="left" vertical="center" wrapText="1"/>
    </xf>
    <xf numFmtId="49" fontId="27" fillId="16" borderId="641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452" xfId="8" applyNumberFormat="1" applyFont="1" applyFill="1" applyBorder="1" applyAlignment="1" applyProtection="1">
      <alignment horizontal="center" vertical="center" wrapText="1"/>
      <protection locked="0"/>
    </xf>
    <xf numFmtId="49" fontId="27" fillId="16" borderId="621" xfId="8" applyNumberFormat="1" applyFont="1" applyFill="1" applyBorder="1" applyAlignment="1" applyProtection="1">
      <alignment horizontal="center" vertical="center" wrapText="1"/>
      <protection locked="0"/>
    </xf>
    <xf numFmtId="49" fontId="16" fillId="19" borderId="452" xfId="8" applyNumberFormat="1" applyFont="1" applyFill="1" applyBorder="1" applyAlignment="1" applyProtection="1">
      <alignment horizontal="left" vertical="center" wrapText="1"/>
      <protection locked="0"/>
    </xf>
    <xf numFmtId="49" fontId="16" fillId="19" borderId="629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36" xfId="8" applyNumberFormat="1" applyFont="1" applyFill="1" applyBorder="1" applyAlignment="1" applyProtection="1">
      <alignment horizontal="left" vertical="center" wrapText="1"/>
      <protection locked="0"/>
    </xf>
    <xf numFmtId="49" fontId="27" fillId="19" borderId="642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35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635" xfId="0" applyFont="1" applyBorder="1" applyAlignment="1">
      <alignment horizontal="left" vertical="center" wrapText="1"/>
    </xf>
    <xf numFmtId="49" fontId="26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3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35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368" xfId="8" applyNumberFormat="1" applyFont="1" applyFill="1" applyBorder="1" applyAlignment="1" applyProtection="1">
      <alignment horizontal="left" vertical="center" wrapText="1"/>
      <protection locked="0"/>
    </xf>
    <xf numFmtId="49" fontId="12" fillId="19" borderId="365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636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64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5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41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1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40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45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1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60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5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69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29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476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66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1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6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635" xfId="8" applyNumberFormat="1" applyFont="1" applyFill="1" applyBorder="1" applyAlignment="1" applyProtection="1">
      <alignment horizontal="left" vertical="center"/>
      <protection locked="0"/>
    </xf>
    <xf numFmtId="49" fontId="12" fillId="16" borderId="664" xfId="8" applyNumberFormat="1" applyFont="1" applyFill="1" applyBorder="1" applyAlignment="1" applyProtection="1">
      <alignment horizontal="left" vertical="center" wrapText="1"/>
      <protection locked="0"/>
    </xf>
    <xf numFmtId="0" fontId="110" fillId="0" borderId="661" xfId="0" applyFont="1" applyBorder="1" applyAlignment="1">
      <alignment horizontal="left" vertical="center" wrapText="1"/>
    </xf>
    <xf numFmtId="49" fontId="23" fillId="16" borderId="6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46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2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625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27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62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21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677" xfId="0" applyFont="1" applyBorder="1" applyAlignment="1">
      <alignment horizontal="left" vertical="center" wrapText="1"/>
    </xf>
    <xf numFmtId="49" fontId="12" fillId="16" borderId="385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678" xfId="8" applyNumberFormat="1" applyFont="1" applyFill="1" applyBorder="1" applyAlignment="1" applyProtection="1">
      <alignment horizontal="left" vertical="center" wrapText="1"/>
      <protection locked="0"/>
    </xf>
    <xf numFmtId="49" fontId="23" fillId="19" borderId="635" xfId="8" applyNumberFormat="1" applyFont="1" applyFill="1" applyBorder="1" applyAlignment="1" applyProtection="1">
      <alignment horizontal="left" vertical="center" wrapText="1"/>
      <protection locked="0"/>
    </xf>
    <xf numFmtId="0" fontId="109" fillId="0" borderId="635" xfId="0" applyFont="1" applyBorder="1" applyAlignment="1">
      <alignment horizontal="left" vertical="center" wrapText="1"/>
    </xf>
    <xf numFmtId="49" fontId="23" fillId="19" borderId="780" xfId="8" applyNumberFormat="1" applyFont="1" applyFill="1" applyBorder="1" applyAlignment="1" applyProtection="1">
      <alignment horizontal="center" vertical="center" wrapText="1"/>
      <protection locked="0"/>
    </xf>
    <xf numFmtId="49" fontId="23" fillId="19" borderId="781" xfId="8" applyNumberFormat="1" applyFont="1" applyFill="1" applyBorder="1" applyAlignment="1" applyProtection="1">
      <alignment horizontal="center" vertical="center" wrapText="1"/>
      <protection locked="0"/>
    </xf>
    <xf numFmtId="49" fontId="20" fillId="16" borderId="1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382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8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63" xfId="8" applyNumberFormat="1" applyFont="1" applyFill="1" applyBorder="1" applyAlignment="1" applyProtection="1">
      <alignment horizontal="center" vertical="center" wrapText="1"/>
      <protection locked="0"/>
    </xf>
    <xf numFmtId="49" fontId="12" fillId="19" borderId="369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3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9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365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0" xfId="8" applyNumberFormat="1" applyFont="1" applyFill="1" applyBorder="1" applyAlignment="1" applyProtection="1">
      <alignment horizontal="left" vertical="center" wrapText="1"/>
      <protection locked="0"/>
    </xf>
    <xf numFmtId="0" fontId="1" fillId="0" borderId="677" xfId="0" applyFont="1" applyBorder="1" applyAlignment="1">
      <alignment horizontal="left" vertical="center" wrapText="1"/>
    </xf>
    <xf numFmtId="49" fontId="6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11" fillId="0" borderId="69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1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4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91" xfId="8" applyNumberFormat="1" applyFont="1" applyFill="1" applyBorder="1" applyAlignment="1" applyProtection="1">
      <alignment horizontal="left" vertical="center"/>
      <protection locked="0"/>
    </xf>
    <xf numFmtId="0" fontId="33" fillId="0" borderId="694" xfId="8" applyNumberFormat="1" applyFont="1" applyFill="1" applyBorder="1" applyAlignment="1" applyProtection="1">
      <alignment horizontal="left" vertical="center"/>
      <protection locked="0"/>
    </xf>
    <xf numFmtId="49" fontId="33" fillId="16" borderId="460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460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677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460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77" xfId="8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703" xfId="8" applyNumberFormat="1" applyFont="1" applyFill="1" applyBorder="1" applyAlignment="1" applyProtection="1">
      <alignment horizontal="left" vertical="center" wrapText="1"/>
      <protection locked="0"/>
    </xf>
    <xf numFmtId="49" fontId="12" fillId="0" borderId="67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98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387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36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697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629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8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7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5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02" xfId="8" applyNumberFormat="1" applyFont="1" applyFill="1" applyBorder="1" applyAlignment="1" applyProtection="1">
      <alignment horizontal="left" vertical="center" wrapText="1"/>
      <protection locked="0"/>
    </xf>
    <xf numFmtId="0" fontId="33" fillId="0" borderId="627" xfId="8" applyNumberFormat="1" applyFont="1" applyFill="1" applyBorder="1" applyAlignment="1" applyProtection="1">
      <alignment horizontal="left" vertical="center"/>
      <protection locked="0"/>
    </xf>
    <xf numFmtId="0" fontId="33" fillId="0" borderId="702" xfId="8" applyNumberFormat="1" applyFont="1" applyFill="1" applyBorder="1" applyAlignment="1" applyProtection="1">
      <alignment horizontal="left" vertical="center"/>
      <protection locked="0"/>
    </xf>
    <xf numFmtId="49" fontId="6" fillId="16" borderId="627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625" xfId="0" applyFont="1" applyBorder="1" applyAlignment="1">
      <alignment vertical="center" wrapText="1"/>
    </xf>
    <xf numFmtId="49" fontId="33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18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40" xfId="8" applyNumberFormat="1" applyFont="1" applyFill="1" applyBorder="1" applyAlignment="1" applyProtection="1">
      <alignment horizontal="left" vertical="center" wrapText="1"/>
      <protection locked="0"/>
    </xf>
    <xf numFmtId="49" fontId="11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33" fillId="16" borderId="110" xfId="8" applyNumberFormat="1" applyFont="1" applyFill="1" applyBorder="1" applyAlignment="1" applyProtection="1">
      <alignment horizontal="left" vertical="center" wrapText="1"/>
      <protection locked="0"/>
    </xf>
    <xf numFmtId="0" fontId="8" fillId="0" borderId="135" xfId="0" applyFont="1" applyBorder="1" applyAlignment="1">
      <alignment horizontal="left" vertical="center" wrapText="1"/>
    </xf>
    <xf numFmtId="49" fontId="20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2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26" fillId="16" borderId="702" xfId="8" applyNumberFormat="1" applyFont="1" applyFill="1" applyBorder="1" applyAlignment="1" applyProtection="1">
      <alignment horizontal="left" vertical="center" wrapText="1"/>
      <protection locked="0"/>
    </xf>
    <xf numFmtId="49" fontId="11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7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16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0" fillId="0" borderId="729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727" xfId="0" applyFont="1" applyBorder="1" applyAlignment="1">
      <alignment horizontal="left" vertical="center" wrapText="1"/>
    </xf>
    <xf numFmtId="49" fontId="23" fillId="0" borderId="70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7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12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3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29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48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65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747" xfId="8" applyNumberFormat="1" applyFont="1" applyFill="1" applyBorder="1" applyAlignment="1" applyProtection="1">
      <alignment horizontal="center" vertical="center" wrapText="1"/>
      <protection locked="0"/>
    </xf>
    <xf numFmtId="49" fontId="6" fillId="16" borderId="664" xfId="8" applyNumberFormat="1" applyFont="1" applyFill="1" applyBorder="1" applyAlignment="1" applyProtection="1">
      <alignment horizontal="left" vertical="center" wrapText="1"/>
      <protection locked="0"/>
    </xf>
    <xf numFmtId="49" fontId="6" fillId="16" borderId="725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38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7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27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70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06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38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729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16" borderId="706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06" xfId="8" applyNumberFormat="1" applyFont="1" applyFill="1" applyBorder="1" applyAlignment="1" applyProtection="1">
      <alignment horizontal="left" vertical="center" wrapText="1"/>
      <protection locked="0"/>
    </xf>
    <xf numFmtId="49" fontId="16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7" fillId="16" borderId="729" xfId="8" applyNumberFormat="1" applyFont="1" applyFill="1" applyBorder="1" applyAlignment="1" applyProtection="1">
      <alignment horizontal="left" vertical="center" wrapText="1"/>
      <protection locked="0"/>
    </xf>
    <xf numFmtId="49" fontId="20" fillId="0" borderId="729" xfId="8" applyNumberFormat="1" applyFont="1" applyFill="1" applyBorder="1" applyAlignment="1" applyProtection="1">
      <alignment vertical="center" wrapText="1"/>
      <protection locked="0"/>
    </xf>
    <xf numFmtId="0" fontId="39" fillId="0" borderId="729" xfId="0" applyFont="1" applyBorder="1" applyAlignment="1">
      <alignment vertical="center" wrapText="1"/>
    </xf>
    <xf numFmtId="49" fontId="23" fillId="0" borderId="664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725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664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725" xfId="8" applyNumberFormat="1" applyFont="1" applyFill="1" applyBorder="1" applyAlignment="1" applyProtection="1">
      <alignment horizontal="left" vertical="center" wrapText="1"/>
      <protection locked="0"/>
    </xf>
    <xf numFmtId="0" fontId="20" fillId="0" borderId="729" xfId="8" applyNumberFormat="1" applyFont="1" applyFill="1" applyBorder="1" applyAlignment="1" applyProtection="1">
      <alignment horizontal="left" vertical="center"/>
      <protection locked="0"/>
    </xf>
    <xf numFmtId="0" fontId="116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12" fillId="16" borderId="754" xfId="8" applyNumberFormat="1" applyFont="1" applyFill="1" applyBorder="1" applyAlignment="1" applyProtection="1">
      <alignment horizontal="left" vertical="center" wrapText="1"/>
      <protection locked="0"/>
    </xf>
    <xf numFmtId="0" fontId="39" fillId="0" borderId="729" xfId="0" applyFont="1" applyBorder="1" applyAlignment="1">
      <alignment horizontal="left" vertical="center" wrapText="1"/>
    </xf>
    <xf numFmtId="49" fontId="20" fillId="16" borderId="748" xfId="8" applyNumberFormat="1" applyFont="1" applyFill="1" applyBorder="1" applyAlignment="1" applyProtection="1">
      <alignment horizontal="left" vertical="center" wrapText="1"/>
      <protection locked="0"/>
    </xf>
    <xf numFmtId="49" fontId="23" fillId="16" borderId="669" xfId="8" applyNumberFormat="1" applyFont="1" applyFill="1" applyBorder="1" applyAlignment="1" applyProtection="1">
      <alignment horizontal="center" vertical="center" wrapText="1"/>
      <protection locked="0"/>
    </xf>
    <xf numFmtId="49" fontId="23" fillId="16" borderId="621" xfId="8" applyNumberFormat="1" applyFont="1" applyFill="1" applyBorder="1" applyAlignment="1" applyProtection="1">
      <alignment horizontal="center" vertical="center" wrapText="1"/>
      <protection locked="0"/>
    </xf>
    <xf numFmtId="49" fontId="69" fillId="0" borderId="66" xfId="4" applyNumberFormat="1" applyFont="1" applyBorder="1" applyAlignment="1">
      <alignment horizontal="center" vertical="center"/>
    </xf>
    <xf numFmtId="49" fontId="69" fillId="0" borderId="54" xfId="4" applyNumberFormat="1" applyFont="1" applyBorder="1" applyAlignment="1">
      <alignment horizontal="center" vertical="center"/>
    </xf>
    <xf numFmtId="49" fontId="69" fillId="0" borderId="57" xfId="4" applyNumberFormat="1" applyFont="1" applyBorder="1" applyAlignment="1">
      <alignment horizontal="center" vertical="center"/>
    </xf>
    <xf numFmtId="0" fontId="70" fillId="0" borderId="65" xfId="4" applyFont="1" applyBorder="1" applyAlignment="1">
      <alignment horizontal="left" vertical="center" wrapText="1"/>
    </xf>
    <xf numFmtId="0" fontId="70" fillId="0" borderId="64" xfId="4" applyFont="1" applyBorder="1" applyAlignment="1">
      <alignment horizontal="left" vertical="center" wrapText="1"/>
    </xf>
    <xf numFmtId="0" fontId="70" fillId="0" borderId="63" xfId="4" applyFont="1" applyBorder="1" applyAlignment="1">
      <alignment horizontal="left" vertical="center" wrapText="1"/>
    </xf>
    <xf numFmtId="0" fontId="69" fillId="0" borderId="65" xfId="4" applyFont="1" applyBorder="1" applyAlignment="1">
      <alignment horizontal="center" vertical="center"/>
    </xf>
    <xf numFmtId="0" fontId="69" fillId="0" borderId="64" xfId="4" applyFont="1" applyBorder="1" applyAlignment="1">
      <alignment horizontal="center" vertical="center"/>
    </xf>
    <xf numFmtId="0" fontId="69" fillId="0" borderId="63" xfId="4" applyFont="1" applyBorder="1" applyAlignment="1">
      <alignment horizontal="center" vertical="center"/>
    </xf>
    <xf numFmtId="49" fontId="69" fillId="0" borderId="65" xfId="4" applyNumberFormat="1" applyFont="1" applyBorder="1" applyAlignment="1">
      <alignment horizontal="center" vertical="center"/>
    </xf>
    <xf numFmtId="49" fontId="69" fillId="0" borderId="64" xfId="4" applyNumberFormat="1" applyFont="1" applyBorder="1" applyAlignment="1">
      <alignment horizontal="center" vertical="center"/>
    </xf>
    <xf numFmtId="49" fontId="69" fillId="0" borderId="63" xfId="4" applyNumberFormat="1" applyFont="1" applyBorder="1" applyAlignment="1">
      <alignment horizontal="center" vertical="center"/>
    </xf>
    <xf numFmtId="0" fontId="76" fillId="0" borderId="0" xfId="4" applyFont="1" applyAlignment="1">
      <alignment horizontal="right" vertical="center" wrapText="1"/>
    </xf>
    <xf numFmtId="0" fontId="89" fillId="0" borderId="0" xfId="4" applyFont="1" applyAlignment="1">
      <alignment horizontal="center" vertical="center" wrapText="1"/>
    </xf>
    <xf numFmtId="0" fontId="75" fillId="0" borderId="0" xfId="4" applyFont="1" applyAlignment="1">
      <alignment horizontal="right" vertical="center"/>
    </xf>
    <xf numFmtId="0" fontId="77" fillId="11" borderId="52" xfId="4" applyFont="1" applyFill="1" applyBorder="1" applyAlignment="1">
      <alignment horizontal="center" vertical="center"/>
    </xf>
    <xf numFmtId="0" fontId="77" fillId="11" borderId="39" xfId="4" applyFont="1" applyFill="1" applyBorder="1" applyAlignment="1">
      <alignment horizontal="center" vertical="center"/>
    </xf>
    <xf numFmtId="0" fontId="77" fillId="11" borderId="69" xfId="4" applyFont="1" applyFill="1" applyBorder="1" applyAlignment="1">
      <alignment horizontal="center" vertical="center"/>
    </xf>
    <xf numFmtId="0" fontId="77" fillId="11" borderId="62" xfId="4" applyFont="1" applyFill="1" applyBorder="1" applyAlignment="1">
      <alignment horizontal="center" vertical="center"/>
    </xf>
    <xf numFmtId="49" fontId="19" fillId="13" borderId="62" xfId="4" applyNumberFormat="1" applyFont="1" applyFill="1" applyBorder="1" applyAlignment="1">
      <alignment horizontal="left" vertical="center"/>
    </xf>
    <xf numFmtId="49" fontId="16" fillId="0" borderId="39" xfId="4" applyNumberFormat="1" applyFont="1" applyBorder="1" applyAlignment="1">
      <alignment horizontal="center" vertical="top"/>
    </xf>
    <xf numFmtId="49" fontId="16" fillId="0" borderId="62" xfId="4" applyNumberFormat="1" applyFont="1" applyBorder="1" applyAlignment="1">
      <alignment horizontal="center" vertical="top"/>
    </xf>
    <xf numFmtId="49" fontId="16" fillId="0" borderId="44" xfId="4" applyNumberFormat="1" applyFont="1" applyBorder="1" applyAlignment="1">
      <alignment horizontal="center" vertical="top"/>
    </xf>
    <xf numFmtId="49" fontId="30" fillId="0" borderId="39" xfId="4" applyNumberFormat="1" applyFont="1" applyBorder="1" applyAlignment="1">
      <alignment horizontal="center" vertical="center"/>
    </xf>
    <xf numFmtId="0" fontId="73" fillId="0" borderId="62" xfId="4" applyFont="1" applyBorder="1" applyAlignment="1">
      <alignment horizontal="left" vertical="center" wrapText="1"/>
    </xf>
    <xf numFmtId="0" fontId="30" fillId="0" borderId="62" xfId="4" applyFont="1" applyBorder="1" applyAlignment="1">
      <alignment horizontal="center" vertical="center"/>
    </xf>
    <xf numFmtId="0" fontId="30" fillId="0" borderId="65" xfId="4" applyFont="1" applyBorder="1" applyAlignment="1">
      <alignment horizontal="center" vertical="center"/>
    </xf>
    <xf numFmtId="0" fontId="30" fillId="0" borderId="63" xfId="4" applyFont="1" applyBorder="1" applyAlignment="1">
      <alignment horizontal="center" vertical="center"/>
    </xf>
    <xf numFmtId="0" fontId="88" fillId="11" borderId="69" xfId="4" applyFont="1" applyFill="1" applyBorder="1" applyAlignment="1">
      <alignment horizontal="center" vertical="center"/>
    </xf>
    <xf numFmtId="0" fontId="77" fillId="11" borderId="69" xfId="4" applyFont="1" applyFill="1" applyBorder="1" applyAlignment="1">
      <alignment horizontal="center" vertical="center" wrapText="1"/>
    </xf>
    <xf numFmtId="0" fontId="77" fillId="11" borderId="62" xfId="4" applyFont="1" applyFill="1" applyBorder="1" applyAlignment="1">
      <alignment horizontal="center" vertical="center" wrapText="1"/>
    </xf>
    <xf numFmtId="0" fontId="88" fillId="11" borderId="69" xfId="4" applyFont="1" applyFill="1" applyBorder="1" applyAlignment="1">
      <alignment horizontal="center" vertical="center" wrapText="1"/>
    </xf>
    <xf numFmtId="0" fontId="87" fillId="11" borderId="69" xfId="4" applyFont="1" applyFill="1" applyBorder="1" applyAlignment="1">
      <alignment horizontal="center" vertical="center" wrapText="1"/>
    </xf>
    <xf numFmtId="0" fontId="87" fillId="11" borderId="62" xfId="4" applyFont="1" applyFill="1" applyBorder="1" applyAlignment="1">
      <alignment horizontal="center" vertical="center" wrapText="1"/>
    </xf>
    <xf numFmtId="0" fontId="87" fillId="11" borderId="69" xfId="4" applyFont="1" applyFill="1" applyBorder="1" applyAlignment="1">
      <alignment horizontal="center" vertical="center"/>
    </xf>
    <xf numFmtId="0" fontId="87" fillId="11" borderId="68" xfId="4" applyFont="1" applyFill="1" applyBorder="1" applyAlignment="1">
      <alignment horizontal="center" vertical="center"/>
    </xf>
    <xf numFmtId="49" fontId="30" fillId="0" borderId="62" xfId="4" applyNumberFormat="1" applyFont="1" applyBorder="1" applyAlignment="1">
      <alignment horizontal="center" vertical="center"/>
    </xf>
    <xf numFmtId="49" fontId="30" fillId="0" borderId="66" xfId="4" applyNumberFormat="1" applyFont="1" applyBorder="1" applyAlignment="1">
      <alignment horizontal="center" vertical="center"/>
    </xf>
    <xf numFmtId="49" fontId="30" fillId="0" borderId="54" xfId="4" applyNumberFormat="1" applyFont="1" applyBorder="1" applyAlignment="1">
      <alignment horizontal="center" vertical="center"/>
    </xf>
    <xf numFmtId="49" fontId="30" fillId="0" borderId="57" xfId="4" applyNumberFormat="1" applyFont="1" applyBorder="1" applyAlignment="1">
      <alignment horizontal="center" vertical="center"/>
    </xf>
    <xf numFmtId="0" fontId="73" fillId="0" borderId="65" xfId="4" applyFont="1" applyBorder="1" applyAlignment="1">
      <alignment horizontal="left" vertical="center" wrapText="1"/>
    </xf>
    <xf numFmtId="0" fontId="73" fillId="0" borderId="64" xfId="4" applyFont="1" applyBorder="1" applyAlignment="1">
      <alignment horizontal="left" vertical="center" wrapText="1"/>
    </xf>
    <xf numFmtId="0" fontId="73" fillId="0" borderId="63" xfId="4" applyFont="1" applyBorder="1" applyAlignment="1">
      <alignment horizontal="left" vertical="center" wrapText="1"/>
    </xf>
    <xf numFmtId="0" fontId="30" fillId="0" borderId="51" xfId="4" applyFont="1" applyBorder="1" applyAlignment="1">
      <alignment horizontal="center" vertical="center"/>
    </xf>
    <xf numFmtId="0" fontId="30" fillId="0" borderId="45" xfId="4" applyFont="1" applyBorder="1" applyAlignment="1">
      <alignment horizontal="center" vertical="center"/>
    </xf>
    <xf numFmtId="0" fontId="30" fillId="0" borderId="67" xfId="4" applyFont="1" applyBorder="1" applyAlignment="1">
      <alignment horizontal="center" vertical="center"/>
    </xf>
    <xf numFmtId="0" fontId="30" fillId="0" borderId="46" xfId="4" applyFont="1" applyBorder="1" applyAlignment="1">
      <alignment horizontal="center" vertical="center"/>
    </xf>
    <xf numFmtId="0" fontId="30" fillId="0" borderId="48" xfId="4" applyFont="1" applyBorder="1" applyAlignment="1">
      <alignment horizontal="center" vertical="center"/>
    </xf>
    <xf numFmtId="0" fontId="30" fillId="0" borderId="47" xfId="4" applyFont="1" applyBorder="1" applyAlignment="1">
      <alignment horizontal="center" vertical="center"/>
    </xf>
    <xf numFmtId="49" fontId="30" fillId="0" borderId="65" xfId="4" applyNumberFormat="1" applyFont="1" applyBorder="1" applyAlignment="1">
      <alignment horizontal="center" vertical="center"/>
    </xf>
    <xf numFmtId="49" fontId="30" fillId="0" borderId="63" xfId="4" applyNumberFormat="1" applyFont="1" applyBorder="1" applyAlignment="1">
      <alignment horizontal="center" vertical="center"/>
    </xf>
    <xf numFmtId="49" fontId="30" fillId="0" borderId="64" xfId="4" applyNumberFormat="1" applyFont="1" applyBorder="1" applyAlignment="1">
      <alignment horizontal="center" vertical="center"/>
    </xf>
    <xf numFmtId="0" fontId="30" fillId="0" borderId="62" xfId="4" applyFont="1" applyBorder="1" applyAlignment="1">
      <alignment horizontal="left" vertical="center" wrapText="1"/>
    </xf>
    <xf numFmtId="0" fontId="30" fillId="0" borderId="64" xfId="4" applyFont="1" applyBorder="1" applyAlignment="1">
      <alignment horizontal="center" vertical="center"/>
    </xf>
    <xf numFmtId="0" fontId="30" fillId="0" borderId="65" xfId="4" applyFont="1" applyBorder="1" applyAlignment="1">
      <alignment horizontal="left" vertical="center" wrapText="1"/>
    </xf>
    <xf numFmtId="0" fontId="30" fillId="0" borderId="64" xfId="4" applyFont="1" applyBorder="1" applyAlignment="1">
      <alignment horizontal="left" vertical="center" wrapText="1"/>
    </xf>
    <xf numFmtId="0" fontId="30" fillId="0" borderId="63" xfId="4" applyFont="1" applyBorder="1" applyAlignment="1">
      <alignment horizontal="left" vertical="center" wrapText="1"/>
    </xf>
    <xf numFmtId="49" fontId="69" fillId="0" borderId="39" xfId="4" applyNumberFormat="1" applyFont="1" applyBorder="1" applyAlignment="1">
      <alignment horizontal="center" vertical="center"/>
    </xf>
    <xf numFmtId="0" fontId="70" fillId="0" borderId="62" xfId="4" applyFont="1" applyBorder="1" applyAlignment="1">
      <alignment horizontal="left" vertical="center" wrapText="1"/>
    </xf>
    <xf numFmtId="0" fontId="69" fillId="0" borderId="62" xfId="4" applyFont="1" applyBorder="1" applyAlignment="1">
      <alignment horizontal="center" vertical="center"/>
    </xf>
    <xf numFmtId="49" fontId="69" fillId="0" borderId="62" xfId="4" applyNumberFormat="1" applyFont="1" applyBorder="1" applyAlignment="1">
      <alignment horizontal="center" vertical="center"/>
    </xf>
    <xf numFmtId="0" fontId="58" fillId="0" borderId="0" xfId="4" applyFont="1" applyAlignment="1">
      <alignment horizontal="left"/>
    </xf>
    <xf numFmtId="0" fontId="66" fillId="0" borderId="0" xfId="4" applyFont="1" applyAlignment="1">
      <alignment horizontal="left"/>
    </xf>
    <xf numFmtId="49" fontId="12" fillId="11" borderId="61" xfId="4" applyNumberFormat="1" applyFont="1" applyFill="1" applyBorder="1" applyAlignment="1">
      <alignment horizontal="center" vertical="center"/>
    </xf>
    <xf numFmtId="49" fontId="12" fillId="11" borderId="60" xfId="4" applyNumberFormat="1" applyFont="1" applyFill="1" applyBorder="1" applyAlignment="1">
      <alignment horizontal="center" vertical="center"/>
    </xf>
    <xf numFmtId="0" fontId="24" fillId="0" borderId="0" xfId="4" applyAlignment="1">
      <alignment horizontal="left"/>
    </xf>
    <xf numFmtId="0" fontId="23" fillId="0" borderId="0" xfId="4" applyFont="1" applyAlignment="1">
      <alignment horizontal="center"/>
    </xf>
    <xf numFmtId="0" fontId="76" fillId="0" borderId="0" xfId="4" applyFont="1" applyAlignment="1">
      <alignment horizontal="center" vertical="center" wrapText="1"/>
    </xf>
    <xf numFmtId="0" fontId="91" fillId="0" borderId="0" xfId="4" applyFont="1" applyAlignment="1">
      <alignment horizontal="center" wrapText="1"/>
    </xf>
    <xf numFmtId="0" fontId="68" fillId="0" borderId="0" xfId="4" applyFont="1" applyAlignment="1">
      <alignment horizontal="left" vertical="center"/>
    </xf>
    <xf numFmtId="0" fontId="12" fillId="0" borderId="27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23" fillId="0" borderId="3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23" fillId="0" borderId="6" xfId="4" applyFont="1" applyBorder="1" applyAlignment="1">
      <alignment horizontal="center" vertical="center"/>
    </xf>
    <xf numFmtId="0" fontId="12" fillId="3" borderId="10" xfId="4" applyFont="1" applyFill="1" applyBorder="1" applyAlignment="1">
      <alignment horizontal="center" vertical="center" wrapText="1"/>
    </xf>
    <xf numFmtId="0" fontId="12" fillId="3" borderId="9" xfId="4" applyFont="1" applyFill="1" applyBorder="1" applyAlignment="1">
      <alignment horizontal="center" vertical="center" wrapText="1"/>
    </xf>
    <xf numFmtId="0" fontId="23" fillId="0" borderId="24" xfId="4" applyFont="1" applyBorder="1" applyAlignment="1">
      <alignment horizontal="center" vertical="center"/>
    </xf>
    <xf numFmtId="0" fontId="23" fillId="0" borderId="18" xfId="4" applyFont="1" applyBorder="1" applyAlignment="1">
      <alignment horizontal="center" vertical="center"/>
    </xf>
    <xf numFmtId="0" fontId="51" fillId="3" borderId="10" xfId="4" applyFont="1" applyFill="1" applyBorder="1" applyAlignment="1">
      <alignment horizontal="center" vertical="center"/>
    </xf>
    <xf numFmtId="0" fontId="51" fillId="3" borderId="11" xfId="4" applyFont="1" applyFill="1" applyBorder="1" applyAlignment="1">
      <alignment horizontal="center" vertical="center"/>
    </xf>
    <xf numFmtId="0" fontId="51" fillId="3" borderId="9" xfId="4" applyFont="1" applyFill="1" applyBorder="1" applyAlignment="1">
      <alignment horizontal="center" vertical="center"/>
    </xf>
    <xf numFmtId="0" fontId="89" fillId="2" borderId="10" xfId="4" applyFont="1" applyFill="1" applyBorder="1" applyAlignment="1">
      <alignment horizontal="center" vertical="center"/>
    </xf>
    <xf numFmtId="0" fontId="89" fillId="2" borderId="11" xfId="4" applyFont="1" applyFill="1" applyBorder="1" applyAlignment="1">
      <alignment horizontal="center" vertical="center"/>
    </xf>
    <xf numFmtId="0" fontId="89" fillId="2" borderId="9" xfId="4" applyFont="1" applyFill="1" applyBorder="1" applyAlignment="1">
      <alignment horizontal="center" vertical="center"/>
    </xf>
    <xf numFmtId="49" fontId="23" fillId="0" borderId="3" xfId="4" applyNumberFormat="1" applyFont="1" applyBorder="1" applyAlignment="1">
      <alignment horizontal="center" vertical="center"/>
    </xf>
    <xf numFmtId="49" fontId="23" fillId="0" borderId="12" xfId="4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51" fillId="14" borderId="10" xfId="4" applyFont="1" applyFill="1" applyBorder="1" applyAlignment="1">
      <alignment horizontal="center" vertical="center"/>
    </xf>
    <xf numFmtId="0" fontId="51" fillId="14" borderId="11" xfId="4" applyFont="1" applyFill="1" applyBorder="1" applyAlignment="1">
      <alignment horizontal="center" vertical="center"/>
    </xf>
    <xf numFmtId="0" fontId="51" fillId="14" borderId="9" xfId="4" applyFont="1" applyFill="1" applyBorder="1" applyAlignment="1">
      <alignment horizontal="center" vertical="center"/>
    </xf>
    <xf numFmtId="0" fontId="68" fillId="0" borderId="28" xfId="4" applyFont="1" applyBorder="1" applyAlignment="1">
      <alignment horizontal="left"/>
    </xf>
    <xf numFmtId="0" fontId="68" fillId="0" borderId="0" xfId="4" applyFont="1" applyAlignment="1">
      <alignment horizontal="left"/>
    </xf>
    <xf numFmtId="0" fontId="68" fillId="0" borderId="23" xfId="4" applyFont="1" applyBorder="1" applyAlignment="1">
      <alignment horizontal="left"/>
    </xf>
    <xf numFmtId="0" fontId="12" fillId="0" borderId="3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 wrapText="1"/>
    </xf>
    <xf numFmtId="0" fontId="11" fillId="0" borderId="2" xfId="4" applyFont="1" applyBorder="1" applyAlignment="1">
      <alignment horizontal="center" vertical="center"/>
    </xf>
    <xf numFmtId="4" fontId="6" fillId="0" borderId="2" xfId="4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3" xfId="5" applyFont="1" applyBorder="1" applyAlignment="1">
      <alignment horizontal="center" vertical="center"/>
    </xf>
    <xf numFmtId="0" fontId="11" fillId="0" borderId="12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11" fillId="14" borderId="2" xfId="4" applyFont="1" applyFill="1" applyBorder="1" applyAlignment="1">
      <alignment horizontal="center" vertical="center"/>
    </xf>
    <xf numFmtId="0" fontId="11" fillId="6" borderId="2" xfId="4" applyFont="1" applyFill="1" applyBorder="1" applyAlignment="1">
      <alignment horizontal="center" vertical="center"/>
    </xf>
    <xf numFmtId="49" fontId="12" fillId="6" borderId="2" xfId="4" applyNumberFormat="1" applyFont="1" applyFill="1" applyBorder="1" applyAlignment="1">
      <alignment horizontal="center" vertical="center"/>
    </xf>
    <xf numFmtId="0" fontId="6" fillId="6" borderId="2" xfId="4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96" fillId="0" borderId="0" xfId="4" applyFont="1" applyAlignment="1">
      <alignment horizontal="center"/>
    </xf>
    <xf numFmtId="0" fontId="94" fillId="0" borderId="0" xfId="4" applyFont="1" applyAlignment="1">
      <alignment horizontal="center" vertical="center" wrapText="1"/>
    </xf>
    <xf numFmtId="0" fontId="64" fillId="14" borderId="2" xfId="4" applyFont="1" applyFill="1" applyBorder="1" applyAlignment="1">
      <alignment horizontal="center" vertical="center"/>
    </xf>
    <xf numFmtId="0" fontId="64" fillId="14" borderId="2" xfId="4" applyFont="1" applyFill="1" applyBorder="1" applyAlignment="1">
      <alignment horizontal="center" vertical="center" wrapText="1"/>
    </xf>
    <xf numFmtId="3" fontId="64" fillId="14" borderId="2" xfId="4" applyNumberFormat="1" applyFont="1" applyFill="1" applyBorder="1" applyAlignment="1">
      <alignment horizontal="center" vertical="center" wrapText="1"/>
    </xf>
    <xf numFmtId="0" fontId="12" fillId="6" borderId="2" xfId="4" applyFont="1" applyFill="1" applyBorder="1" applyAlignment="1">
      <alignment horizontal="center" vertical="center"/>
    </xf>
    <xf numFmtId="0" fontId="23" fillId="6" borderId="2" xfId="4" applyFont="1" applyFill="1" applyBorder="1" applyAlignment="1">
      <alignment horizontal="left" vertical="center" wrapText="1"/>
    </xf>
    <xf numFmtId="49" fontId="11" fillId="6" borderId="2" xfId="4" applyNumberFormat="1" applyFont="1" applyFill="1" applyBorder="1" applyAlignment="1">
      <alignment horizontal="center" vertical="center"/>
    </xf>
    <xf numFmtId="3" fontId="11" fillId="0" borderId="2" xfId="5" applyNumberFormat="1" applyFont="1" applyBorder="1" applyAlignment="1">
      <alignment horizontal="center" vertical="center"/>
    </xf>
    <xf numFmtId="3" fontId="11" fillId="0" borderId="3" xfId="5" applyNumberFormat="1" applyFont="1" applyBorder="1" applyAlignment="1">
      <alignment horizontal="center" vertical="center"/>
    </xf>
    <xf numFmtId="3" fontId="11" fillId="0" borderId="6" xfId="5" applyNumberFormat="1" applyFont="1" applyBorder="1" applyAlignment="1">
      <alignment horizontal="center" vertical="center"/>
    </xf>
    <xf numFmtId="3" fontId="11" fillId="0" borderId="12" xfId="5" applyNumberFormat="1" applyFont="1" applyBorder="1" applyAlignment="1">
      <alignment horizontal="center" vertical="center"/>
    </xf>
    <xf numFmtId="3" fontId="12" fillId="6" borderId="2" xfId="4" applyNumberFormat="1" applyFont="1" applyFill="1" applyBorder="1" applyAlignment="1">
      <alignment horizontal="center" vertical="center"/>
    </xf>
    <xf numFmtId="3" fontId="11" fillId="0" borderId="3" xfId="4" applyNumberFormat="1" applyFont="1" applyBorder="1" applyAlignment="1">
      <alignment horizontal="center" vertical="center"/>
    </xf>
    <xf numFmtId="3" fontId="11" fillId="0" borderId="12" xfId="4" applyNumberFormat="1" applyFont="1" applyBorder="1" applyAlignment="1">
      <alignment horizontal="center" vertical="center"/>
    </xf>
    <xf numFmtId="3" fontId="11" fillId="0" borderId="6" xfId="4" applyNumberFormat="1" applyFont="1" applyBorder="1" applyAlignment="1">
      <alignment horizontal="center" vertical="center"/>
    </xf>
    <xf numFmtId="3" fontId="11" fillId="0" borderId="2" xfId="4" applyNumberFormat="1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99" fillId="0" borderId="0" xfId="4" applyFont="1" applyAlignment="1">
      <alignment horizontal="center" vertical="center"/>
    </xf>
    <xf numFmtId="0" fontId="64" fillId="14" borderId="10" xfId="4" applyFont="1" applyFill="1" applyBorder="1" applyAlignment="1">
      <alignment horizontal="center" vertical="center"/>
    </xf>
    <xf numFmtId="0" fontId="64" fillId="14" borderId="9" xfId="4" applyFont="1" applyFill="1" applyBorder="1" applyAlignment="1">
      <alignment horizontal="center" vertical="center" wrapText="1"/>
    </xf>
    <xf numFmtId="0" fontId="64" fillId="14" borderId="3" xfId="4" applyFont="1" applyFill="1" applyBorder="1" applyAlignment="1">
      <alignment horizontal="center" vertical="center" wrapText="1"/>
    </xf>
    <xf numFmtId="0" fontId="64" fillId="14" borderId="6" xfId="4" applyFont="1" applyFill="1" applyBorder="1" applyAlignment="1">
      <alignment horizontal="center" vertical="center" wrapText="1"/>
    </xf>
    <xf numFmtId="0" fontId="94" fillId="14" borderId="9" xfId="4" applyFont="1" applyFill="1" applyBorder="1" applyAlignment="1">
      <alignment horizontal="center" vertical="center" wrapText="1"/>
    </xf>
    <xf numFmtId="0" fontId="94" fillId="14" borderId="2" xfId="4" applyFont="1" applyFill="1" applyBorder="1" applyAlignment="1">
      <alignment horizontal="center" vertical="center" wrapText="1"/>
    </xf>
    <xf numFmtId="0" fontId="64" fillId="14" borderId="3" xfId="4" applyFont="1" applyFill="1" applyBorder="1" applyAlignment="1">
      <alignment horizontal="center" vertical="center"/>
    </xf>
    <xf numFmtId="0" fontId="64" fillId="14" borderId="6" xfId="4" applyFont="1" applyFill="1" applyBorder="1" applyAlignment="1">
      <alignment horizontal="center" vertical="center"/>
    </xf>
    <xf numFmtId="0" fontId="63" fillId="0" borderId="3" xfId="4" applyFont="1" applyBorder="1" applyAlignment="1">
      <alignment horizontal="center" vertical="center"/>
    </xf>
    <xf numFmtId="0" fontId="63" fillId="0" borderId="6" xfId="4" applyFont="1" applyBorder="1" applyAlignment="1">
      <alignment horizontal="center" vertical="center"/>
    </xf>
    <xf numFmtId="49" fontId="51" fillId="0" borderId="3" xfId="4" applyNumberFormat="1" applyFont="1" applyBorder="1" applyAlignment="1">
      <alignment horizontal="center" vertical="center"/>
    </xf>
    <xf numFmtId="49" fontId="51" fillId="0" borderId="6" xfId="4" applyNumberFormat="1" applyFont="1" applyBorder="1" applyAlignment="1">
      <alignment horizontal="center" vertical="center"/>
    </xf>
    <xf numFmtId="0" fontId="51" fillId="0" borderId="3" xfId="4" applyFont="1" applyBorder="1" applyAlignment="1">
      <alignment horizontal="center" vertical="center"/>
    </xf>
    <xf numFmtId="0" fontId="51" fillId="0" borderId="12" xfId="4" applyFont="1" applyBorder="1" applyAlignment="1">
      <alignment horizontal="center" vertical="center"/>
    </xf>
    <xf numFmtId="0" fontId="51" fillId="0" borderId="6" xfId="4" applyFont="1" applyBorder="1" applyAlignment="1">
      <alignment horizontal="center" vertical="center"/>
    </xf>
    <xf numFmtId="49" fontId="51" fillId="0" borderId="12" xfId="4" applyNumberFormat="1" applyFont="1" applyBorder="1" applyAlignment="1">
      <alignment horizontal="center" vertical="center"/>
    </xf>
    <xf numFmtId="49" fontId="51" fillId="0" borderId="27" xfId="4" applyNumberFormat="1" applyFont="1" applyBorder="1" applyAlignment="1">
      <alignment horizontal="center" vertical="center"/>
    </xf>
    <xf numFmtId="49" fontId="51" fillId="0" borderId="30" xfId="4" applyNumberFormat="1" applyFont="1" applyBorder="1" applyAlignment="1">
      <alignment horizontal="center" vertical="center"/>
    </xf>
    <xf numFmtId="0" fontId="51" fillId="0" borderId="4" xfId="4" applyFont="1" applyBorder="1" applyAlignment="1">
      <alignment horizontal="center" vertical="center"/>
    </xf>
    <xf numFmtId="0" fontId="51" fillId="0" borderId="7" xfId="4" applyFont="1" applyBorder="1" applyAlignment="1">
      <alignment horizontal="center" vertical="center"/>
    </xf>
    <xf numFmtId="0" fontId="51" fillId="0" borderId="28" xfId="4" applyFont="1" applyBorder="1" applyAlignment="1">
      <alignment horizontal="center" vertical="center"/>
    </xf>
    <xf numFmtId="0" fontId="63" fillId="0" borderId="3" xfId="4" applyFont="1" applyBorder="1" applyAlignment="1">
      <alignment horizontal="left" vertical="center" wrapText="1"/>
    </xf>
    <xf numFmtId="0" fontId="63" fillId="0" borderId="12" xfId="4" applyFont="1" applyBorder="1" applyAlignment="1">
      <alignment horizontal="left" vertical="center" wrapText="1"/>
    </xf>
    <xf numFmtId="0" fontId="63" fillId="0" borderId="6" xfId="4" applyFont="1" applyBorder="1" applyAlignment="1">
      <alignment horizontal="left" vertical="center" wrapText="1"/>
    </xf>
    <xf numFmtId="0" fontId="51" fillId="14" borderId="3" xfId="4" applyFont="1" applyFill="1" applyBorder="1" applyAlignment="1">
      <alignment horizontal="center" vertical="center"/>
    </xf>
    <xf numFmtId="0" fontId="51" fillId="14" borderId="6" xfId="4" applyFont="1" applyFill="1" applyBorder="1" applyAlignment="1">
      <alignment horizontal="center" vertical="center"/>
    </xf>
    <xf numFmtId="49" fontId="51" fillId="14" borderId="2" xfId="4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top"/>
    </xf>
    <xf numFmtId="0" fontId="85" fillId="0" borderId="0" xfId="4" applyFont="1" applyAlignment="1">
      <alignment horizontal="center" vertical="top"/>
    </xf>
    <xf numFmtId="0" fontId="91" fillId="0" borderId="0" xfId="4" applyFont="1" applyAlignment="1">
      <alignment horizontal="center" vertical="center" wrapText="1"/>
    </xf>
    <xf numFmtId="0" fontId="51" fillId="14" borderId="3" xfId="4" applyFont="1" applyFill="1" applyBorder="1" applyAlignment="1">
      <alignment horizontal="center" vertical="center" wrapText="1"/>
    </xf>
    <xf numFmtId="0" fontId="51" fillId="14" borderId="6" xfId="4" applyFont="1" applyFill="1" applyBorder="1" applyAlignment="1">
      <alignment horizontal="center" vertical="center" wrapText="1"/>
    </xf>
    <xf numFmtId="0" fontId="51" fillId="14" borderId="10" xfId="4" applyFont="1" applyFill="1" applyBorder="1" applyAlignment="1">
      <alignment horizontal="center" vertical="center" wrapText="1"/>
    </xf>
    <xf numFmtId="0" fontId="51" fillId="14" borderId="9" xfId="4" applyFont="1" applyFill="1" applyBorder="1" applyAlignment="1">
      <alignment horizontal="center" vertical="center" wrapText="1"/>
    </xf>
    <xf numFmtId="49" fontId="89" fillId="3" borderId="2" xfId="4" applyNumberFormat="1" applyFont="1" applyFill="1" applyBorder="1" applyAlignment="1">
      <alignment horizontal="center" vertical="center"/>
    </xf>
    <xf numFmtId="49" fontId="89" fillId="3" borderId="10" xfId="4" applyNumberFormat="1" applyFont="1" applyFill="1" applyBorder="1" applyAlignment="1">
      <alignment horizontal="center" vertical="center"/>
    </xf>
    <xf numFmtId="0" fontId="51" fillId="15" borderId="61" xfId="4" applyFont="1" applyFill="1" applyBorder="1" applyAlignment="1">
      <alignment horizontal="center" vertical="center" wrapText="1"/>
    </xf>
    <xf numFmtId="0" fontId="51" fillId="15" borderId="76" xfId="4" applyFont="1" applyFill="1" applyBorder="1" applyAlignment="1">
      <alignment horizontal="center" vertical="center" wrapText="1"/>
    </xf>
    <xf numFmtId="0" fontId="68" fillId="2" borderId="3" xfId="4" applyFont="1" applyFill="1" applyBorder="1" applyAlignment="1">
      <alignment horizontal="center" vertical="center" wrapText="1"/>
    </xf>
    <xf numFmtId="0" fontId="68" fillId="2" borderId="12" xfId="4" applyFont="1" applyFill="1" applyBorder="1" applyAlignment="1">
      <alignment horizontal="center" vertical="center" wrapText="1"/>
    </xf>
    <xf numFmtId="0" fontId="68" fillId="2" borderId="32" xfId="4" applyFont="1" applyFill="1" applyBorder="1" applyAlignment="1">
      <alignment horizontal="center" vertical="center" wrapText="1"/>
    </xf>
    <xf numFmtId="0" fontId="68" fillId="2" borderId="0" xfId="4" applyFont="1" applyFill="1" applyAlignment="1">
      <alignment horizontal="center" vertical="center" wrapText="1"/>
    </xf>
    <xf numFmtId="0" fontId="63" fillId="0" borderId="12" xfId="4" applyFont="1" applyBorder="1" applyAlignment="1">
      <alignment horizontal="center" vertical="center"/>
    </xf>
    <xf numFmtId="0" fontId="51" fillId="2" borderId="2" xfId="4" applyFont="1" applyFill="1" applyBorder="1" applyAlignment="1">
      <alignment horizontal="center" vertical="center"/>
    </xf>
    <xf numFmtId="0" fontId="51" fillId="2" borderId="3" xfId="4" applyFont="1" applyFill="1" applyBorder="1" applyAlignment="1">
      <alignment horizontal="center" vertical="center"/>
    </xf>
    <xf numFmtId="0" fontId="51" fillId="2" borderId="9" xfId="4" applyFont="1" applyFill="1" applyBorder="1" applyAlignment="1">
      <alignment horizontal="center" vertical="center"/>
    </xf>
    <xf numFmtId="0" fontId="51" fillId="2" borderId="5" xfId="4" applyFont="1" applyFill="1" applyBorder="1" applyAlignment="1">
      <alignment horizontal="center" vertical="center"/>
    </xf>
    <xf numFmtId="0" fontId="51" fillId="2" borderId="10" xfId="4" applyFont="1" applyFill="1" applyBorder="1" applyAlignment="1">
      <alignment horizontal="center" vertical="center"/>
    </xf>
    <xf numFmtId="0" fontId="51" fillId="2" borderId="4" xfId="4" applyFont="1" applyFill="1" applyBorder="1" applyAlignment="1">
      <alignment horizontal="center" vertical="center"/>
    </xf>
    <xf numFmtId="0" fontId="51" fillId="2" borderId="2" xfId="4" applyFont="1" applyFill="1" applyBorder="1" applyAlignment="1">
      <alignment horizontal="center" vertical="center" wrapText="1"/>
    </xf>
    <xf numFmtId="0" fontId="51" fillId="2" borderId="3" xfId="4" applyFont="1" applyFill="1" applyBorder="1" applyAlignment="1">
      <alignment horizontal="center" vertical="center" wrapText="1"/>
    </xf>
    <xf numFmtId="0" fontId="51" fillId="2" borderId="9" xfId="4" applyFont="1" applyFill="1" applyBorder="1" applyAlignment="1">
      <alignment horizontal="center" vertical="center" wrapText="1"/>
    </xf>
    <xf numFmtId="0" fontId="51" fillId="2" borderId="32" xfId="4" applyFont="1" applyFill="1" applyBorder="1" applyAlignment="1">
      <alignment horizontal="center" vertical="center" wrapText="1"/>
    </xf>
    <xf numFmtId="0" fontId="68" fillId="2" borderId="10" xfId="4" applyFont="1" applyFill="1" applyBorder="1" applyAlignment="1">
      <alignment horizontal="center" vertical="center" wrapText="1"/>
    </xf>
    <xf numFmtId="0" fontId="68" fillId="2" borderId="11" xfId="4" applyFont="1" applyFill="1" applyBorder="1" applyAlignment="1">
      <alignment horizontal="center" vertical="center" wrapText="1"/>
    </xf>
    <xf numFmtId="49" fontId="51" fillId="2" borderId="2" xfId="4" applyNumberFormat="1" applyFont="1" applyFill="1" applyBorder="1" applyAlignment="1">
      <alignment horizontal="center" vertical="center"/>
    </xf>
    <xf numFmtId="49" fontId="51" fillId="2" borderId="10" xfId="4" applyNumberFormat="1" applyFont="1" applyFill="1" applyBorder="1" applyAlignment="1">
      <alignment horizontal="center" vertical="center"/>
    </xf>
    <xf numFmtId="0" fontId="51" fillId="3" borderId="10" xfId="4" applyFont="1" applyFill="1" applyBorder="1" applyAlignment="1">
      <alignment horizontal="center" vertical="center" wrapText="1"/>
    </xf>
    <xf numFmtId="0" fontId="51" fillId="3" borderId="11" xfId="4" applyFont="1" applyFill="1" applyBorder="1" applyAlignment="1">
      <alignment horizontal="center" vertical="center" wrapText="1"/>
    </xf>
    <xf numFmtId="0" fontId="51" fillId="3" borderId="9" xfId="4" applyFont="1" applyFill="1" applyBorder="1" applyAlignment="1">
      <alignment horizontal="center" vertical="center" wrapText="1"/>
    </xf>
    <xf numFmtId="0" fontId="51" fillId="3" borderId="61" xfId="4" applyFont="1" applyFill="1" applyBorder="1" applyAlignment="1">
      <alignment horizontal="center" vertical="center" wrapText="1"/>
    </xf>
    <xf numFmtId="0" fontId="51" fillId="3" borderId="60" xfId="4" applyFont="1" applyFill="1" applyBorder="1" applyAlignment="1">
      <alignment horizontal="center" vertical="center" wrapText="1"/>
    </xf>
    <xf numFmtId="0" fontId="51" fillId="3" borderId="59" xfId="4" applyFont="1" applyFill="1" applyBorder="1" applyAlignment="1">
      <alignment horizontal="center" vertical="center" wrapText="1"/>
    </xf>
    <xf numFmtId="3" fontId="51" fillId="0" borderId="12" xfId="4" applyNumberFormat="1" applyFont="1" applyBorder="1" applyAlignment="1">
      <alignment horizontal="center" vertical="center"/>
    </xf>
    <xf numFmtId="0" fontId="51" fillId="0" borderId="56" xfId="4" applyFont="1" applyBorder="1" applyAlignment="1">
      <alignment horizontal="center" vertical="center" wrapText="1"/>
    </xf>
    <xf numFmtId="0" fontId="51" fillId="0" borderId="54" xfId="4" applyFont="1" applyBorder="1" applyAlignment="1">
      <alignment horizontal="center" vertical="center" wrapText="1"/>
    </xf>
    <xf numFmtId="0" fontId="63" fillId="0" borderId="74" xfId="4" applyFont="1" applyBorder="1" applyAlignment="1">
      <alignment horizontal="center" vertical="center" wrapText="1"/>
    </xf>
    <xf numFmtId="0" fontId="63" fillId="0" borderId="64" xfId="4" applyFont="1" applyBorder="1" applyAlignment="1">
      <alignment horizontal="center" vertical="center" wrapText="1"/>
    </xf>
    <xf numFmtId="0" fontId="63" fillId="0" borderId="73" xfId="4" applyFont="1" applyBorder="1" applyAlignment="1">
      <alignment horizontal="center" vertical="center" wrapText="1"/>
    </xf>
    <xf numFmtId="0" fontId="63" fillId="0" borderId="71" xfId="4" applyFont="1" applyBorder="1" applyAlignment="1">
      <alignment horizontal="center" vertical="center" wrapText="1"/>
    </xf>
    <xf numFmtId="0" fontId="51" fillId="2" borderId="12" xfId="4" applyFont="1" applyFill="1" applyBorder="1" applyAlignment="1">
      <alignment horizontal="center" vertical="center"/>
    </xf>
    <xf numFmtId="0" fontId="51" fillId="2" borderId="6" xfId="4" applyFont="1" applyFill="1" applyBorder="1" applyAlignment="1">
      <alignment horizontal="center" vertical="center"/>
    </xf>
    <xf numFmtId="49" fontId="51" fillId="2" borderId="11" xfId="4" applyNumberFormat="1" applyFont="1" applyFill="1" applyBorder="1" applyAlignment="1">
      <alignment horizontal="center" vertical="center"/>
    </xf>
    <xf numFmtId="0" fontId="51" fillId="2" borderId="37" xfId="4" applyFont="1" applyFill="1" applyBorder="1" applyAlignment="1">
      <alignment horizontal="center" vertical="center" wrapText="1"/>
    </xf>
    <xf numFmtId="0" fontId="51" fillId="2" borderId="33" xfId="4" applyFont="1" applyFill="1" applyBorder="1" applyAlignment="1">
      <alignment horizontal="center" vertical="center" wrapText="1"/>
    </xf>
    <xf numFmtId="0" fontId="51" fillId="0" borderId="27" xfId="4" applyFont="1" applyBorder="1" applyAlignment="1">
      <alignment horizontal="center" vertical="center"/>
    </xf>
    <xf numFmtId="0" fontId="51" fillId="0" borderId="30" xfId="4" applyFont="1" applyBorder="1" applyAlignment="1">
      <alignment horizontal="center" vertical="center"/>
    </xf>
    <xf numFmtId="0" fontId="51" fillId="3" borderId="35" xfId="4" applyFont="1" applyFill="1" applyBorder="1" applyAlignment="1">
      <alignment horizontal="center" vertical="center"/>
    </xf>
    <xf numFmtId="0" fontId="51" fillId="3" borderId="69" xfId="4" applyFont="1" applyFill="1" applyBorder="1" applyAlignment="1">
      <alignment horizontal="center" vertical="center"/>
    </xf>
    <xf numFmtId="0" fontId="51" fillId="3" borderId="53" xfId="4" applyFont="1" applyFill="1" applyBorder="1" applyAlignment="1">
      <alignment horizontal="center" vertical="center"/>
    </xf>
    <xf numFmtId="0" fontId="63" fillId="0" borderId="58" xfId="4" applyFont="1" applyBorder="1" applyAlignment="1">
      <alignment horizontal="center" vertical="center" wrapText="1"/>
    </xf>
    <xf numFmtId="0" fontId="51" fillId="0" borderId="58" xfId="4" applyFont="1" applyBorder="1" applyAlignment="1">
      <alignment horizontal="center" vertical="center" wrapText="1"/>
    </xf>
    <xf numFmtId="0" fontId="51" fillId="3" borderId="47" xfId="4" applyFont="1" applyFill="1" applyBorder="1" applyAlignment="1">
      <alignment horizontal="center" vertical="center" wrapText="1"/>
    </xf>
    <xf numFmtId="0" fontId="51" fillId="3" borderId="63" xfId="4" applyFont="1" applyFill="1" applyBorder="1" applyAlignment="1">
      <alignment horizontal="center" vertical="center" wrapText="1"/>
    </xf>
    <xf numFmtId="0" fontId="51" fillId="3" borderId="48" xfId="4" applyFont="1" applyFill="1" applyBorder="1" applyAlignment="1">
      <alignment horizontal="center" vertical="center" wrapText="1"/>
    </xf>
    <xf numFmtId="49" fontId="63" fillId="0" borderId="75" xfId="4" applyNumberFormat="1" applyFont="1" applyBorder="1" applyAlignment="1">
      <alignment horizontal="center" vertical="center"/>
    </xf>
    <xf numFmtId="49" fontId="63" fillId="0" borderId="45" xfId="4" applyNumberFormat="1" applyFont="1" applyBorder="1" applyAlignment="1">
      <alignment horizontal="center" vertical="center"/>
    </xf>
    <xf numFmtId="0" fontId="63" fillId="0" borderId="18" xfId="4" applyFont="1" applyBorder="1" applyAlignment="1">
      <alignment horizontal="center" vertical="center" wrapText="1"/>
    </xf>
    <xf numFmtId="0" fontId="63" fillId="0" borderId="0" xfId="4" applyFont="1" applyAlignment="1">
      <alignment horizontal="center" vertical="center" wrapText="1"/>
    </xf>
    <xf numFmtId="49" fontId="89" fillId="2" borderId="61" xfId="4" applyNumberFormat="1" applyFont="1" applyFill="1" applyBorder="1" applyAlignment="1">
      <alignment horizontal="center" vertical="center"/>
    </xf>
    <xf numFmtId="49" fontId="89" fillId="2" borderId="60" xfId="4" applyNumberFormat="1" applyFont="1" applyFill="1" applyBorder="1" applyAlignment="1">
      <alignment horizontal="center" vertical="center"/>
    </xf>
    <xf numFmtId="49" fontId="89" fillId="2" borderId="76" xfId="4" applyNumberFormat="1" applyFont="1" applyFill="1" applyBorder="1" applyAlignment="1">
      <alignment horizontal="center" vertical="center"/>
    </xf>
    <xf numFmtId="3" fontId="89" fillId="2" borderId="10" xfId="4" applyNumberFormat="1" applyFont="1" applyFill="1" applyBorder="1" applyAlignment="1">
      <alignment horizontal="right" vertical="center"/>
    </xf>
    <xf numFmtId="3" fontId="89" fillId="2" borderId="9" xfId="4" applyNumberFormat="1" applyFont="1" applyFill="1" applyBorder="1" applyAlignment="1">
      <alignment horizontal="right" vertical="center"/>
    </xf>
    <xf numFmtId="0" fontId="89" fillId="0" borderId="56" xfId="4" applyFont="1" applyBorder="1" applyAlignment="1">
      <alignment horizontal="center" vertical="center" wrapText="1"/>
    </xf>
    <xf numFmtId="0" fontId="89" fillId="0" borderId="74" xfId="4" applyFont="1" applyBorder="1" applyAlignment="1">
      <alignment horizontal="center" vertical="center" wrapText="1"/>
    </xf>
    <xf numFmtId="0" fontId="89" fillId="0" borderId="73" xfId="4" applyFont="1" applyBorder="1" applyAlignment="1">
      <alignment horizontal="center" vertical="center" wrapText="1"/>
    </xf>
    <xf numFmtId="0" fontId="51" fillId="2" borderId="27" xfId="4" applyFont="1" applyFill="1" applyBorder="1" applyAlignment="1">
      <alignment horizontal="center" vertical="center"/>
    </xf>
    <xf numFmtId="0" fontId="51" fillId="2" borderId="30" xfId="4" applyFont="1" applyFill="1" applyBorder="1" applyAlignment="1">
      <alignment horizontal="center" vertical="center"/>
    </xf>
    <xf numFmtId="0" fontId="51" fillId="2" borderId="37" xfId="4" applyFont="1" applyFill="1" applyBorder="1" applyAlignment="1">
      <alignment horizontal="center" vertical="center"/>
    </xf>
    <xf numFmtId="0" fontId="51" fillId="2" borderId="33" xfId="4" applyFont="1" applyFill="1" applyBorder="1" applyAlignment="1">
      <alignment horizontal="center" vertical="center"/>
    </xf>
    <xf numFmtId="0" fontId="51" fillId="2" borderId="7" xfId="4" applyFont="1" applyFill="1" applyBorder="1" applyAlignment="1">
      <alignment horizontal="center" vertical="center"/>
    </xf>
    <xf numFmtId="0" fontId="51" fillId="2" borderId="26" xfId="4" applyFont="1" applyFill="1" applyBorder="1" applyAlignment="1">
      <alignment horizontal="center" vertical="center" wrapText="1"/>
    </xf>
    <xf numFmtId="0" fontId="51" fillId="2" borderId="31" xfId="4" applyFont="1" applyFill="1" applyBorder="1" applyAlignment="1">
      <alignment horizontal="center" vertical="center"/>
    </xf>
    <xf numFmtId="0" fontId="51" fillId="2" borderId="27" xfId="4" applyFont="1" applyFill="1" applyBorder="1" applyAlignment="1">
      <alignment horizontal="center" vertical="center" wrapText="1"/>
    </xf>
    <xf numFmtId="0" fontId="51" fillId="2" borderId="35" xfId="4" applyFont="1" applyFill="1" applyBorder="1" applyAlignment="1">
      <alignment horizontal="center" vertical="center"/>
    </xf>
    <xf numFmtId="0" fontId="51" fillId="2" borderId="69" xfId="4" applyFont="1" applyFill="1" applyBorder="1" applyAlignment="1">
      <alignment horizontal="center" vertical="center"/>
    </xf>
    <xf numFmtId="0" fontId="51" fillId="2" borderId="68" xfId="4" applyFont="1" applyFill="1" applyBorder="1" applyAlignment="1">
      <alignment horizontal="center" vertical="center"/>
    </xf>
    <xf numFmtId="49" fontId="51" fillId="0" borderId="15" xfId="4" applyNumberFormat="1" applyFont="1" applyBorder="1" applyAlignment="1">
      <alignment horizontal="center" vertical="center" wrapText="1"/>
    </xf>
    <xf numFmtId="49" fontId="51" fillId="0" borderId="20" xfId="4" applyNumberFormat="1" applyFont="1" applyBorder="1" applyAlignment="1">
      <alignment horizontal="center" vertical="center" wrapText="1"/>
    </xf>
    <xf numFmtId="49" fontId="51" fillId="0" borderId="31" xfId="4" applyNumberFormat="1" applyFont="1" applyBorder="1" applyAlignment="1">
      <alignment horizontal="center" vertical="center" wrapText="1"/>
    </xf>
    <xf numFmtId="0" fontId="51" fillId="3" borderId="57" xfId="4" applyFont="1" applyFill="1" applyBorder="1" applyAlignment="1">
      <alignment horizontal="center" vertical="center"/>
    </xf>
    <xf numFmtId="0" fontId="51" fillId="3" borderId="63" xfId="4" applyFont="1" applyFill="1" applyBorder="1" applyAlignment="1">
      <alignment horizontal="center" vertical="center"/>
    </xf>
    <xf numFmtId="0" fontId="51" fillId="3" borderId="40" xfId="4" applyFont="1" applyFill="1" applyBorder="1" applyAlignment="1">
      <alignment horizontal="center" vertical="center"/>
    </xf>
    <xf numFmtId="3" fontId="51" fillId="3" borderId="15" xfId="4" applyNumberFormat="1" applyFont="1" applyFill="1" applyBorder="1" applyAlignment="1">
      <alignment horizontal="right" vertical="center"/>
    </xf>
    <xf numFmtId="3" fontId="51" fillId="3" borderId="16" xfId="4" applyNumberFormat="1" applyFont="1" applyFill="1" applyBorder="1" applyAlignment="1">
      <alignment horizontal="right" vertical="center"/>
    </xf>
    <xf numFmtId="49" fontId="63" fillId="0" borderId="39" xfId="4" applyNumberFormat="1" applyFont="1" applyBorder="1" applyAlignment="1">
      <alignment horizontal="center" vertical="center" wrapText="1"/>
    </xf>
    <xf numFmtId="49" fontId="63" fillId="0" borderId="41" xfId="4" applyNumberFormat="1" applyFont="1" applyBorder="1" applyAlignment="1">
      <alignment horizontal="center" vertical="center" wrapText="1"/>
    </xf>
    <xf numFmtId="2" fontId="63" fillId="0" borderId="62" xfId="4" applyNumberFormat="1" applyFont="1" applyBorder="1" applyAlignment="1">
      <alignment horizontal="center" vertical="center"/>
    </xf>
    <xf numFmtId="2" fontId="63" fillId="0" borderId="44" xfId="4" applyNumberFormat="1" applyFont="1" applyBorder="1" applyAlignment="1">
      <alignment horizontal="center" vertical="center"/>
    </xf>
    <xf numFmtId="3" fontId="63" fillId="0" borderId="20" xfId="4" applyNumberFormat="1" applyFont="1" applyBorder="1" applyAlignment="1">
      <alignment horizontal="right" vertical="center"/>
    </xf>
    <xf numFmtId="3" fontId="63" fillId="0" borderId="25" xfId="4" applyNumberFormat="1" applyFont="1" applyBorder="1" applyAlignment="1">
      <alignment horizontal="right" vertical="center"/>
    </xf>
    <xf numFmtId="0" fontId="105" fillId="3" borderId="62" xfId="4" applyFont="1" applyFill="1" applyBorder="1" applyAlignment="1">
      <alignment horizontal="center" vertical="center"/>
    </xf>
    <xf numFmtId="0" fontId="105" fillId="3" borderId="44" xfId="4" applyFont="1" applyFill="1" applyBorder="1" applyAlignment="1">
      <alignment horizontal="center" vertical="center"/>
    </xf>
    <xf numFmtId="3" fontId="106" fillId="3" borderId="20" xfId="4" applyNumberFormat="1" applyFont="1" applyFill="1" applyBorder="1" applyAlignment="1">
      <alignment horizontal="right" vertical="center" wrapText="1"/>
    </xf>
    <xf numFmtId="3" fontId="106" fillId="3" borderId="25" xfId="4" applyNumberFormat="1" applyFont="1" applyFill="1" applyBorder="1" applyAlignment="1">
      <alignment horizontal="right" vertical="center" wrapText="1"/>
    </xf>
    <xf numFmtId="0" fontId="105" fillId="3" borderId="58" xfId="4" applyFont="1" applyFill="1" applyBorder="1" applyAlignment="1">
      <alignment horizontal="center" vertical="center"/>
    </xf>
    <xf numFmtId="0" fontId="105" fillId="3" borderId="49" xfId="4" applyFont="1" applyFill="1" applyBorder="1" applyAlignment="1">
      <alignment horizontal="center" vertical="center"/>
    </xf>
    <xf numFmtId="3" fontId="63" fillId="3" borderId="31" xfId="4" applyNumberFormat="1" applyFont="1" applyFill="1" applyBorder="1" applyAlignment="1">
      <alignment horizontal="right" vertical="center"/>
    </xf>
    <xf numFmtId="3" fontId="63" fillId="3" borderId="33" xfId="4" applyNumberFormat="1" applyFont="1" applyFill="1" applyBorder="1" applyAlignment="1">
      <alignment horizontal="right" vertical="center"/>
    </xf>
    <xf numFmtId="0" fontId="51" fillId="0" borderId="4" xfId="4" applyFont="1" applyBorder="1" applyAlignment="1">
      <alignment horizontal="center" vertical="center" wrapText="1"/>
    </xf>
    <xf numFmtId="0" fontId="51" fillId="0" borderId="28" xfId="4" applyFont="1" applyBorder="1" applyAlignment="1">
      <alignment horizontal="center" vertical="center" wrapText="1"/>
    </xf>
    <xf numFmtId="0" fontId="51" fillId="0" borderId="7" xfId="4" applyFont="1" applyBorder="1" applyAlignment="1">
      <alignment horizontal="center" vertical="center" wrapText="1"/>
    </xf>
    <xf numFmtId="0" fontId="51" fillId="3" borderId="32" xfId="4" applyFont="1" applyFill="1" applyBorder="1" applyAlignment="1">
      <alignment horizontal="center" vertical="center" wrapText="1"/>
    </xf>
    <xf numFmtId="0" fontId="51" fillId="3" borderId="5" xfId="4" applyFont="1" applyFill="1" applyBorder="1" applyAlignment="1">
      <alignment horizontal="center" vertical="center" wrapText="1"/>
    </xf>
    <xf numFmtId="3" fontId="51" fillId="3" borderId="26" xfId="4" applyNumberFormat="1" applyFont="1" applyFill="1" applyBorder="1" applyAlignment="1">
      <alignment horizontal="right" vertical="center"/>
    </xf>
    <xf numFmtId="3" fontId="51" fillId="3" borderId="37" xfId="4" applyNumberFormat="1" applyFont="1" applyFill="1" applyBorder="1" applyAlignment="1">
      <alignment horizontal="right" vertical="center"/>
    </xf>
    <xf numFmtId="0" fontId="63" fillId="0" borderId="66" xfId="4" applyFont="1" applyBorder="1" applyAlignment="1">
      <alignment horizontal="center" vertical="center" wrapText="1"/>
    </xf>
    <xf numFmtId="0" fontId="63" fillId="0" borderId="55" xfId="4" applyFont="1" applyBorder="1" applyAlignment="1">
      <alignment horizontal="center" vertical="center" wrapText="1"/>
    </xf>
    <xf numFmtId="0" fontId="63" fillId="0" borderId="62" xfId="4" applyFont="1" applyBorder="1" applyAlignment="1">
      <alignment horizontal="center" vertical="center" wrapText="1"/>
    </xf>
    <xf numFmtId="0" fontId="63" fillId="0" borderId="44" xfId="4" applyFont="1" applyBorder="1" applyAlignment="1">
      <alignment horizontal="center" vertical="center" wrapText="1"/>
    </xf>
    <xf numFmtId="0" fontId="51" fillId="3" borderId="58" xfId="4" applyFont="1" applyFill="1" applyBorder="1" applyAlignment="1">
      <alignment horizontal="center" vertical="center"/>
    </xf>
    <xf numFmtId="0" fontId="51" fillId="3" borderId="49" xfId="4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85" fillId="0" borderId="0" xfId="4" applyFont="1" applyAlignment="1">
      <alignment horizontal="center" vertical="center"/>
    </xf>
    <xf numFmtId="0" fontId="73" fillId="0" borderId="0" xfId="4" applyFont="1" applyAlignment="1">
      <alignment horizontal="center" vertical="center" wrapText="1"/>
    </xf>
    <xf numFmtId="0" fontId="51" fillId="2" borderId="77" xfId="4" applyFont="1" applyFill="1" applyBorder="1" applyAlignment="1">
      <alignment horizontal="center" vertical="center"/>
    </xf>
    <xf numFmtId="0" fontId="51" fillId="2" borderId="60" xfId="4" applyFont="1" applyFill="1" applyBorder="1" applyAlignment="1">
      <alignment horizontal="center" vertical="center"/>
    </xf>
    <xf numFmtId="0" fontId="51" fillId="2" borderId="59" xfId="4" applyFont="1" applyFill="1" applyBorder="1" applyAlignment="1">
      <alignment horizontal="center" vertical="center"/>
    </xf>
    <xf numFmtId="0" fontId="92" fillId="0" borderId="0" xfId="4" applyFont="1" applyAlignment="1">
      <alignment horizontal="center" vertical="center"/>
    </xf>
    <xf numFmtId="0" fontId="90" fillId="0" borderId="0" xfId="4" applyFont="1" applyAlignment="1">
      <alignment horizontal="left" vertical="center" wrapText="1"/>
    </xf>
    <xf numFmtId="0" fontId="12" fillId="3" borderId="52" xfId="4" applyFont="1" applyFill="1" applyBorder="1" applyAlignment="1">
      <alignment horizontal="center" vertical="center"/>
    </xf>
    <xf numFmtId="0" fontId="12" fillId="3" borderId="39" xfId="4" applyFont="1" applyFill="1" applyBorder="1" applyAlignment="1">
      <alignment horizontal="center" vertical="center"/>
    </xf>
    <xf numFmtId="0" fontId="12" fillId="3" borderId="69" xfId="4" applyFont="1" applyFill="1" applyBorder="1" applyAlignment="1">
      <alignment horizontal="center" vertical="center"/>
    </xf>
    <xf numFmtId="0" fontId="12" fillId="3" borderId="62" xfId="4" applyFont="1" applyFill="1" applyBorder="1" applyAlignment="1">
      <alignment horizontal="center" vertical="center"/>
    </xf>
    <xf numFmtId="0" fontId="12" fillId="3" borderId="69" xfId="4" applyFont="1" applyFill="1" applyBorder="1" applyAlignment="1">
      <alignment horizontal="center" vertical="center" wrapText="1"/>
    </xf>
    <xf numFmtId="0" fontId="12" fillId="3" borderId="62" xfId="4" applyFont="1" applyFill="1" applyBorder="1" applyAlignment="1">
      <alignment horizontal="center" vertical="center" wrapText="1"/>
    </xf>
    <xf numFmtId="0" fontId="12" fillId="3" borderId="68" xfId="4" applyFont="1" applyFill="1" applyBorder="1" applyAlignment="1">
      <alignment horizontal="center" vertical="center" wrapText="1"/>
    </xf>
    <xf numFmtId="0" fontId="12" fillId="3" borderId="44" xfId="4" applyFont="1" applyFill="1" applyBorder="1" applyAlignment="1">
      <alignment horizontal="center" vertical="center" wrapText="1"/>
    </xf>
    <xf numFmtId="49" fontId="12" fillId="3" borderId="41" xfId="4" applyNumberFormat="1" applyFont="1" applyFill="1" applyBorder="1" applyAlignment="1">
      <alignment horizontal="center" vertical="center"/>
    </xf>
    <xf numFmtId="49" fontId="12" fillId="3" borderId="58" xfId="4" applyNumberFormat="1" applyFont="1" applyFill="1" applyBorder="1" applyAlignment="1">
      <alignment horizontal="center" vertical="center"/>
    </xf>
    <xf numFmtId="0" fontId="23" fillId="0" borderId="66" xfId="4" applyFont="1" applyBorder="1" applyAlignment="1">
      <alignment horizontal="center" vertical="center"/>
    </xf>
    <xf numFmtId="0" fontId="23" fillId="0" borderId="54" xfId="4" applyFont="1" applyBorder="1" applyAlignment="1">
      <alignment horizontal="center" vertical="center"/>
    </xf>
    <xf numFmtId="0" fontId="23" fillId="0" borderId="57" xfId="4" applyFont="1" applyBorder="1" applyAlignment="1">
      <alignment horizontal="center" vertical="center"/>
    </xf>
    <xf numFmtId="0" fontId="23" fillId="0" borderId="65" xfId="4" applyFont="1" applyBorder="1" applyAlignment="1">
      <alignment horizontal="center" vertical="center"/>
    </xf>
    <xf numFmtId="0" fontId="23" fillId="0" borderId="64" xfId="4" applyFont="1" applyBorder="1" applyAlignment="1">
      <alignment horizontal="center" vertical="center"/>
    </xf>
    <xf numFmtId="0" fontId="23" fillId="0" borderId="63" xfId="4" applyFont="1" applyBorder="1" applyAlignment="1">
      <alignment horizontal="center" vertical="center"/>
    </xf>
    <xf numFmtId="3" fontId="23" fillId="0" borderId="70" xfId="4" applyNumberFormat="1" applyFont="1" applyBorder="1" applyAlignment="1">
      <alignment horizontal="left" vertical="center" wrapText="1"/>
    </xf>
    <xf numFmtId="3" fontId="23" fillId="0" borderId="40" xfId="4" applyNumberFormat="1" applyFont="1" applyBorder="1" applyAlignment="1">
      <alignment horizontal="left" vertical="center" wrapText="1"/>
    </xf>
    <xf numFmtId="3" fontId="23" fillId="0" borderId="71" xfId="4" applyNumberFormat="1" applyFont="1" applyBorder="1" applyAlignment="1">
      <alignment horizontal="left" vertical="center" wrapText="1"/>
    </xf>
    <xf numFmtId="0" fontId="12" fillId="3" borderId="56" xfId="4" applyFont="1" applyFill="1" applyBorder="1" applyAlignment="1">
      <alignment horizontal="center" vertical="center"/>
    </xf>
    <xf numFmtId="0" fontId="12" fillId="3" borderId="57" xfId="4" applyFont="1" applyFill="1" applyBorder="1" applyAlignment="1">
      <alignment horizontal="center" vertical="center"/>
    </xf>
    <xf numFmtId="0" fontId="12" fillId="3" borderId="74" xfId="4" applyFont="1" applyFill="1" applyBorder="1" applyAlignment="1">
      <alignment horizontal="center" vertical="center"/>
    </xf>
    <xf numFmtId="0" fontId="12" fillId="3" borderId="63" xfId="4" applyFont="1" applyFill="1" applyBorder="1" applyAlignment="1">
      <alignment horizontal="center" vertical="center"/>
    </xf>
    <xf numFmtId="0" fontId="12" fillId="3" borderId="73" xfId="4" applyFont="1" applyFill="1" applyBorder="1" applyAlignment="1">
      <alignment horizontal="center" vertical="center" wrapText="1"/>
    </xf>
    <xf numFmtId="0" fontId="12" fillId="3" borderId="40" xfId="4" applyFont="1" applyFill="1" applyBorder="1" applyAlignment="1">
      <alignment horizontal="center" vertical="center" wrapText="1"/>
    </xf>
    <xf numFmtId="49" fontId="12" fillId="3" borderId="31" xfId="4" applyNumberFormat="1" applyFont="1" applyFill="1" applyBorder="1" applyAlignment="1">
      <alignment horizontal="center" vertical="center"/>
    </xf>
    <xf numFmtId="49" fontId="12" fillId="3" borderId="29" xfId="4" applyNumberFormat="1" applyFont="1" applyFill="1" applyBorder="1" applyAlignment="1">
      <alignment horizontal="center" vertical="center"/>
    </xf>
    <xf numFmtId="49" fontId="12" fillId="3" borderId="72" xfId="4" applyNumberFormat="1" applyFont="1" applyFill="1" applyBorder="1" applyAlignment="1">
      <alignment horizontal="center" vertical="center"/>
    </xf>
    <xf numFmtId="0" fontId="23" fillId="0" borderId="70" xfId="4" applyFont="1" applyBorder="1" applyAlignment="1">
      <alignment horizontal="left" vertical="center" wrapText="1"/>
    </xf>
    <xf numFmtId="0" fontId="23" fillId="0" borderId="40" xfId="4" applyFont="1" applyBorder="1" applyAlignment="1">
      <alignment horizontal="left" vertical="center" wrapText="1"/>
    </xf>
    <xf numFmtId="49" fontId="12" fillId="0" borderId="0" xfId="4" applyNumberFormat="1" applyFont="1" applyAlignment="1">
      <alignment horizontal="center" vertical="center"/>
    </xf>
    <xf numFmtId="0" fontId="23" fillId="0" borderId="71" xfId="4" applyFont="1" applyBorder="1" applyAlignment="1">
      <alignment horizontal="left" vertical="center" wrapText="1"/>
    </xf>
    <xf numFmtId="0" fontId="23" fillId="0" borderId="39" xfId="4" applyFont="1" applyBorder="1" applyAlignment="1">
      <alignment horizontal="center" vertical="center"/>
    </xf>
    <xf numFmtId="0" fontId="23" fillId="0" borderId="62" xfId="4" applyFont="1" applyBorder="1" applyAlignment="1">
      <alignment horizontal="center" vertical="center"/>
    </xf>
    <xf numFmtId="49" fontId="12" fillId="0" borderId="766" xfId="4" applyNumberFormat="1" applyFont="1" applyBorder="1" applyAlignment="1">
      <alignment horizontal="center" vertical="top"/>
    </xf>
    <xf numFmtId="49" fontId="12" fillId="0" borderId="763" xfId="4" applyNumberFormat="1" applyFont="1" applyBorder="1" applyAlignment="1">
      <alignment horizontal="center" vertical="top"/>
    </xf>
    <xf numFmtId="0" fontId="12" fillId="23" borderId="767" xfId="4" applyFont="1" applyFill="1" applyBorder="1" applyAlignment="1">
      <alignment horizontal="center" vertical="center"/>
    </xf>
    <xf numFmtId="0" fontId="12" fillId="23" borderId="737" xfId="4" applyFont="1" applyFill="1" applyBorder="1" applyAlignment="1">
      <alignment horizontal="center" vertical="center"/>
    </xf>
    <xf numFmtId="0" fontId="12" fillId="23" borderId="745" xfId="4" applyFont="1" applyFill="1" applyBorder="1" applyAlignment="1">
      <alignment horizontal="center" vertical="center"/>
    </xf>
    <xf numFmtId="49" fontId="23" fillId="0" borderId="765" xfId="4" applyNumberFormat="1" applyFont="1" applyBorder="1" applyAlignment="1">
      <alignment horizontal="center" vertical="center"/>
    </xf>
    <xf numFmtId="49" fontId="23" fillId="0" borderId="762" xfId="4" applyNumberFormat="1" applyFont="1" applyBorder="1" applyAlignment="1">
      <alignment horizontal="center" vertical="center"/>
    </xf>
    <xf numFmtId="0" fontId="20" fillId="0" borderId="765" xfId="4" applyFont="1" applyBorder="1" applyAlignment="1">
      <alignment horizontal="center" vertical="center"/>
    </xf>
    <xf numFmtId="49" fontId="12" fillId="3" borderId="10" xfId="4" applyNumberFormat="1" applyFont="1" applyFill="1" applyBorder="1" applyAlignment="1">
      <alignment horizontal="center" vertical="center"/>
    </xf>
    <xf numFmtId="49" fontId="12" fillId="3" borderId="11" xfId="4" applyNumberFormat="1" applyFont="1" applyFill="1" applyBorder="1" applyAlignment="1">
      <alignment horizontal="center" vertical="center"/>
    </xf>
    <xf numFmtId="49" fontId="12" fillId="3" borderId="77" xfId="4" applyNumberFormat="1" applyFont="1" applyFill="1" applyBorder="1" applyAlignment="1">
      <alignment horizontal="center" vertical="center"/>
    </xf>
    <xf numFmtId="0" fontId="12" fillId="23" borderId="767" xfId="4" applyFont="1" applyFill="1" applyBorder="1" applyAlignment="1">
      <alignment horizontal="center" vertical="center" wrapText="1"/>
    </xf>
    <xf numFmtId="0" fontId="12" fillId="23" borderId="737" xfId="4" applyFont="1" applyFill="1" applyBorder="1" applyAlignment="1">
      <alignment horizontal="center" vertical="center" wrapText="1"/>
    </xf>
    <xf numFmtId="0" fontId="12" fillId="23" borderId="745" xfId="4" applyFont="1" applyFill="1" applyBorder="1" applyAlignment="1">
      <alignment horizontal="center" vertical="center" wrapText="1"/>
    </xf>
    <xf numFmtId="0" fontId="20" fillId="0" borderId="765" xfId="4" applyFont="1" applyBorder="1" applyAlignment="1">
      <alignment horizontal="center" vertical="center" wrapText="1"/>
    </xf>
    <xf numFmtId="49" fontId="12" fillId="0" borderId="768" xfId="4" applyNumberFormat="1" applyFont="1" applyBorder="1" applyAlignment="1">
      <alignment horizontal="center" vertical="top"/>
    </xf>
    <xf numFmtId="49" fontId="12" fillId="0" borderId="751" xfId="4" applyNumberFormat="1" applyFont="1" applyBorder="1" applyAlignment="1">
      <alignment horizontal="center" vertical="top"/>
    </xf>
    <xf numFmtId="49" fontId="12" fillId="0" borderId="476" xfId="4" applyNumberFormat="1" applyFont="1" applyBorder="1" applyAlignment="1">
      <alignment horizontal="center" vertical="top"/>
    </xf>
    <xf numFmtId="0" fontId="76" fillId="0" borderId="0" xfId="4" applyFont="1" applyAlignment="1">
      <alignment horizontal="right" vertical="top" wrapText="1"/>
    </xf>
    <xf numFmtId="0" fontId="117" fillId="0" borderId="0" xfId="11" applyAlignment="1">
      <alignment horizontal="right" vertical="top"/>
    </xf>
    <xf numFmtId="0" fontId="12" fillId="0" borderId="686" xfId="4" applyFont="1" applyBorder="1" applyAlignment="1">
      <alignment horizontal="center" vertical="center" wrapText="1"/>
    </xf>
    <xf numFmtId="0" fontId="12" fillId="0" borderId="770" xfId="4" applyFont="1" applyBorder="1" applyAlignment="1">
      <alignment horizontal="center" vertical="center" wrapText="1"/>
    </xf>
    <xf numFmtId="0" fontId="12" fillId="0" borderId="769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right" vertical="center" wrapText="1"/>
    </xf>
    <xf numFmtId="49" fontId="12" fillId="0" borderId="574" xfId="4" applyNumberFormat="1" applyFont="1" applyBorder="1" applyAlignment="1">
      <alignment horizontal="center" vertical="top"/>
    </xf>
    <xf numFmtId="0" fontId="12" fillId="23" borderId="53" xfId="4" applyFont="1" applyFill="1" applyBorder="1" applyAlignment="1">
      <alignment horizontal="center" vertical="center"/>
    </xf>
    <xf numFmtId="0" fontId="12" fillId="23" borderId="164" xfId="4" applyFont="1" applyFill="1" applyBorder="1" applyAlignment="1">
      <alignment horizontal="center" vertical="center"/>
    </xf>
    <xf numFmtId="0" fontId="12" fillId="23" borderId="703" xfId="4" applyFont="1" applyFill="1" applyBorder="1" applyAlignment="1">
      <alignment horizontal="center" vertical="center"/>
    </xf>
    <xf numFmtId="0" fontId="12" fillId="24" borderId="765" xfId="4" applyFont="1" applyFill="1" applyBorder="1" applyAlignment="1">
      <alignment horizontal="center" vertical="center" wrapText="1"/>
    </xf>
    <xf numFmtId="49" fontId="12" fillId="0" borderId="771" xfId="4" applyNumberFormat="1" applyFont="1" applyBorder="1" applyAlignment="1">
      <alignment horizontal="center" vertical="center"/>
    </xf>
    <xf numFmtId="49" fontId="12" fillId="0" borderId="770" xfId="4" applyNumberFormat="1" applyFont="1" applyBorder="1" applyAlignment="1">
      <alignment horizontal="center" vertical="center"/>
    </xf>
    <xf numFmtId="0" fontId="12" fillId="0" borderId="771" xfId="4" applyFont="1" applyBorder="1" applyAlignment="1">
      <alignment horizontal="center" vertical="center"/>
    </xf>
    <xf numFmtId="0" fontId="12" fillId="0" borderId="770" xfId="4" applyFont="1" applyBorder="1" applyAlignment="1">
      <alignment horizontal="center" vertical="center"/>
    </xf>
    <xf numFmtId="49" fontId="12" fillId="24" borderId="765" xfId="4" applyNumberFormat="1" applyFont="1" applyFill="1" applyBorder="1" applyAlignment="1">
      <alignment horizontal="center" vertical="center"/>
    </xf>
    <xf numFmtId="49" fontId="12" fillId="3" borderId="61" xfId="4" applyNumberFormat="1" applyFont="1" applyFill="1" applyBorder="1" applyAlignment="1">
      <alignment horizontal="center" vertical="center"/>
    </xf>
    <xf numFmtId="49" fontId="12" fillId="3" borderId="60" xfId="4" applyNumberFormat="1" applyFont="1" applyFill="1" applyBorder="1" applyAlignment="1">
      <alignment horizontal="center" vertical="center"/>
    </xf>
    <xf numFmtId="3" fontId="118" fillId="0" borderId="0" xfId="4" applyNumberFormat="1" applyFont="1" applyAlignment="1">
      <alignment horizontal="center" vertical="center" wrapText="1"/>
    </xf>
    <xf numFmtId="0" fontId="118" fillId="0" borderId="0" xfId="4" applyFont="1" applyAlignment="1">
      <alignment horizontal="center" vertical="center" wrapText="1"/>
    </xf>
    <xf numFmtId="49" fontId="12" fillId="0" borderId="78" xfId="4" applyNumberFormat="1" applyFont="1" applyBorder="1" applyAlignment="1">
      <alignment horizontal="center" vertical="center"/>
    </xf>
    <xf numFmtId="0" fontId="12" fillId="0" borderId="771" xfId="4" applyFont="1" applyBorder="1" applyAlignment="1">
      <alignment horizontal="center" vertical="center" wrapText="1"/>
    </xf>
    <xf numFmtId="0" fontId="12" fillId="0" borderId="78" xfId="4" applyFont="1" applyBorder="1" applyAlignment="1">
      <alignment horizontal="center" vertical="center" wrapText="1"/>
    </xf>
    <xf numFmtId="49" fontId="12" fillId="0" borderId="679" xfId="4" applyNumberFormat="1" applyFont="1" applyBorder="1" applyAlignment="1">
      <alignment horizontal="center" vertical="top"/>
    </xf>
    <xf numFmtId="0" fontId="12" fillId="24" borderId="765" xfId="4" applyFont="1" applyFill="1" applyBorder="1" applyAlignment="1">
      <alignment horizontal="center" vertical="center"/>
    </xf>
    <xf numFmtId="49" fontId="12" fillId="0" borderId="667" xfId="4" applyNumberFormat="1" applyFont="1" applyBorder="1" applyAlignment="1">
      <alignment horizontal="center" vertical="center"/>
    </xf>
    <xf numFmtId="0" fontId="12" fillId="0" borderId="667" xfId="4" applyFont="1" applyBorder="1" applyAlignment="1">
      <alignment horizontal="center" vertical="center" wrapText="1"/>
    </xf>
    <xf numFmtId="0" fontId="12" fillId="24" borderId="667" xfId="4" applyFont="1" applyFill="1" applyBorder="1" applyAlignment="1">
      <alignment horizontal="center" vertical="center"/>
    </xf>
    <xf numFmtId="0" fontId="12" fillId="3" borderId="767" xfId="4" applyFont="1" applyFill="1" applyBorder="1" applyAlignment="1">
      <alignment horizontal="center" vertical="center" wrapText="1"/>
    </xf>
    <xf numFmtId="0" fontId="12" fillId="3" borderId="762" xfId="4" applyFont="1" applyFill="1" applyBorder="1" applyAlignment="1">
      <alignment horizontal="center" vertical="center" wrapText="1"/>
    </xf>
    <xf numFmtId="0" fontId="12" fillId="3" borderId="745" xfId="4" applyFont="1" applyFill="1" applyBorder="1" applyAlignment="1">
      <alignment horizontal="center" vertical="center"/>
    </xf>
    <xf numFmtId="0" fontId="12" fillId="3" borderId="765" xfId="4" applyFont="1" applyFill="1" applyBorder="1" applyAlignment="1">
      <alignment horizontal="center" vertical="center"/>
    </xf>
    <xf numFmtId="0" fontId="12" fillId="3" borderId="765" xfId="4" applyFont="1" applyFill="1" applyBorder="1" applyAlignment="1">
      <alignment horizontal="center" vertical="center" wrapText="1"/>
    </xf>
    <xf numFmtId="0" fontId="12" fillId="3" borderId="771" xfId="4" applyFont="1" applyFill="1" applyBorder="1" applyAlignment="1">
      <alignment horizontal="center" vertical="center" wrapText="1"/>
    </xf>
    <xf numFmtId="0" fontId="12" fillId="3" borderId="78" xfId="4" applyFont="1" applyFill="1" applyBorder="1" applyAlignment="1">
      <alignment horizontal="center" vertical="center" wrapText="1"/>
    </xf>
    <xf numFmtId="0" fontId="12" fillId="3" borderId="385" xfId="4" applyFont="1" applyFill="1" applyBorder="1" applyAlignment="1">
      <alignment horizontal="center" vertical="center"/>
    </xf>
    <xf numFmtId="0" fontId="12" fillId="3" borderId="766" xfId="4" applyFont="1" applyFill="1" applyBorder="1" applyAlignment="1">
      <alignment horizontal="center" vertical="center"/>
    </xf>
    <xf numFmtId="0" fontId="12" fillId="3" borderId="763" xfId="4" applyFont="1" applyFill="1" applyBorder="1" applyAlignment="1">
      <alignment horizontal="center" vertical="center"/>
    </xf>
    <xf numFmtId="0" fontId="12" fillId="3" borderId="762" xfId="4" applyFont="1" applyFill="1" applyBorder="1" applyAlignment="1">
      <alignment horizontal="center" vertical="center"/>
    </xf>
    <xf numFmtId="0" fontId="12" fillId="3" borderId="770" xfId="4" applyFont="1" applyFill="1" applyBorder="1" applyAlignment="1">
      <alignment horizontal="center" vertical="center"/>
    </xf>
    <xf numFmtId="0" fontId="12" fillId="3" borderId="78" xfId="4" applyFont="1" applyFill="1" applyBorder="1" applyAlignment="1">
      <alignment horizontal="center" vertical="center"/>
    </xf>
    <xf numFmtId="0" fontId="12" fillId="3" borderId="53" xfId="4" applyFont="1" applyFill="1" applyBorder="1" applyAlignment="1">
      <alignment horizontal="center" vertical="center" wrapText="1"/>
    </xf>
    <xf numFmtId="0" fontId="12" fillId="3" borderId="164" xfId="4" applyFont="1" applyFill="1" applyBorder="1" applyAlignment="1">
      <alignment horizontal="center" vertical="center" wrapText="1"/>
    </xf>
    <xf numFmtId="0" fontId="12" fillId="3" borderId="703" xfId="4" applyFont="1" applyFill="1" applyBorder="1" applyAlignment="1">
      <alignment horizontal="center" vertical="center" wrapText="1"/>
    </xf>
    <xf numFmtId="0" fontId="12" fillId="3" borderId="764" xfId="4" applyFont="1" applyFill="1" applyBorder="1" applyAlignment="1">
      <alignment horizontal="center" vertical="center" wrapText="1"/>
    </xf>
    <xf numFmtId="0" fontId="12" fillId="3" borderId="761" xfId="4" applyFont="1" applyFill="1" applyBorder="1" applyAlignment="1">
      <alignment horizontal="center" vertical="center" wrapText="1"/>
    </xf>
    <xf numFmtId="49" fontId="12" fillId="14" borderId="61" xfId="4" applyNumberFormat="1" applyFont="1" applyFill="1" applyBorder="1" applyAlignment="1">
      <alignment horizontal="center" vertical="center"/>
    </xf>
    <xf numFmtId="49" fontId="12" fillId="14" borderId="78" xfId="4" applyNumberFormat="1" applyFont="1" applyFill="1" applyBorder="1" applyAlignment="1">
      <alignment horizontal="center" vertical="center"/>
    </xf>
    <xf numFmtId="49" fontId="12" fillId="14" borderId="60" xfId="4" applyNumberFormat="1" applyFont="1" applyFill="1" applyBorder="1" applyAlignment="1">
      <alignment horizontal="center" vertical="center"/>
    </xf>
    <xf numFmtId="49" fontId="12" fillId="14" borderId="76" xfId="4" applyNumberFormat="1" applyFont="1" applyFill="1" applyBorder="1" applyAlignment="1">
      <alignment horizontal="center" vertical="center"/>
    </xf>
    <xf numFmtId="0" fontId="120" fillId="0" borderId="0" xfId="4" applyFont="1" applyAlignment="1">
      <alignment horizontal="center" vertical="center" wrapText="1"/>
    </xf>
    <xf numFmtId="49" fontId="12" fillId="0" borderId="3" xfId="4" applyNumberFormat="1" applyFont="1" applyBorder="1" applyAlignment="1">
      <alignment horizontal="center" vertical="center" wrapText="1"/>
    </xf>
    <xf numFmtId="49" fontId="12" fillId="0" borderId="12" xfId="4" applyNumberFormat="1" applyFont="1" applyBorder="1" applyAlignment="1">
      <alignment horizontal="center" vertical="center" wrapText="1"/>
    </xf>
    <xf numFmtId="49" fontId="12" fillId="0" borderId="6" xfId="4" applyNumberFormat="1" applyFont="1" applyBorder="1" applyAlignment="1">
      <alignment horizontal="center" vertical="center" wrapText="1"/>
    </xf>
    <xf numFmtId="0" fontId="19" fillId="3" borderId="61" xfId="4" applyFont="1" applyFill="1" applyBorder="1" applyAlignment="1">
      <alignment horizontal="center" vertical="center"/>
    </xf>
    <xf numFmtId="0" fontId="19" fillId="3" borderId="60" xfId="4" applyFont="1" applyFill="1" applyBorder="1" applyAlignment="1">
      <alignment horizontal="center" vertical="center"/>
    </xf>
    <xf numFmtId="0" fontId="19" fillId="3" borderId="59" xfId="4" applyFont="1" applyFill="1" applyBorder="1" applyAlignment="1">
      <alignment horizontal="center" vertical="center"/>
    </xf>
    <xf numFmtId="49" fontId="23" fillId="0" borderId="3" xfId="4" applyNumberFormat="1" applyFont="1" applyBorder="1" applyAlignment="1">
      <alignment horizontal="center" vertical="center" wrapText="1"/>
    </xf>
    <xf numFmtId="49" fontId="23" fillId="0" borderId="6" xfId="4" applyNumberFormat="1" applyFont="1" applyBorder="1" applyAlignment="1">
      <alignment horizontal="center" vertical="center" wrapText="1"/>
    </xf>
    <xf numFmtId="0" fontId="20" fillId="6" borderId="698" xfId="4" applyFont="1" applyFill="1" applyBorder="1" applyAlignment="1">
      <alignment horizontal="center" vertical="center"/>
    </xf>
    <xf numFmtId="0" fontId="20" fillId="6" borderId="387" xfId="4" applyFont="1" applyFill="1" applyBorder="1" applyAlignment="1">
      <alignment horizontal="center" vertical="center"/>
    </xf>
    <xf numFmtId="0" fontId="73" fillId="0" borderId="0" xfId="4" applyFont="1" applyAlignment="1">
      <alignment horizontal="right" vertical="center" wrapText="1"/>
    </xf>
    <xf numFmtId="0" fontId="12" fillId="14" borderId="26" xfId="4" applyFont="1" applyFill="1" applyBorder="1" applyAlignment="1">
      <alignment horizontal="center" vertical="center"/>
    </xf>
    <xf numFmtId="0" fontId="12" fillId="14" borderId="778" xfId="4" applyFont="1" applyFill="1" applyBorder="1" applyAlignment="1">
      <alignment horizontal="center" vertical="center"/>
    </xf>
    <xf numFmtId="0" fontId="12" fillId="14" borderId="27" xfId="4" applyFont="1" applyFill="1" applyBorder="1" applyAlignment="1">
      <alignment horizontal="center" vertical="center"/>
    </xf>
    <xf numFmtId="0" fontId="12" fillId="14" borderId="774" xfId="4" applyFont="1" applyFill="1" applyBorder="1" applyAlignment="1">
      <alignment horizontal="center" vertical="center"/>
    </xf>
    <xf numFmtId="0" fontId="12" fillId="14" borderId="164" xfId="4" applyFont="1" applyFill="1" applyBorder="1" applyAlignment="1">
      <alignment horizontal="center" vertical="center"/>
    </xf>
    <xf numFmtId="0" fontId="12" fillId="14" borderId="18" xfId="4" applyFont="1" applyFill="1" applyBorder="1" applyAlignment="1">
      <alignment horizontal="center" vertical="center"/>
    </xf>
    <xf numFmtId="0" fontId="12" fillId="14" borderId="27" xfId="4" applyFont="1" applyFill="1" applyBorder="1" applyAlignment="1">
      <alignment horizontal="center" vertical="center" wrapText="1"/>
    </xf>
    <xf numFmtId="0" fontId="19" fillId="14" borderId="703" xfId="4" applyFont="1" applyFill="1" applyBorder="1" applyAlignment="1">
      <alignment horizontal="center" vertical="center" wrapText="1"/>
    </xf>
    <xf numFmtId="0" fontId="19" fillId="14" borderId="68" xfId="4" applyFont="1" applyFill="1" applyBorder="1" applyAlignment="1">
      <alignment horizontal="center" vertical="center" wrapText="1"/>
    </xf>
    <xf numFmtId="0" fontId="12" fillId="3" borderId="10" xfId="6" applyFont="1" applyFill="1" applyBorder="1" applyAlignment="1">
      <alignment horizontal="left"/>
    </xf>
    <xf numFmtId="0" fontId="12" fillId="3" borderId="11" xfId="6" applyFont="1" applyFill="1" applyBorder="1" applyAlignment="1">
      <alignment horizontal="left"/>
    </xf>
    <xf numFmtId="0" fontId="51" fillId="2" borderId="10" xfId="6" applyFont="1" applyFill="1" applyBorder="1" applyAlignment="1">
      <alignment horizontal="center" vertical="center"/>
    </xf>
    <xf numFmtId="0" fontId="51" fillId="2" borderId="11" xfId="6" applyFont="1" applyFill="1" applyBorder="1" applyAlignment="1">
      <alignment horizontal="center" vertical="center"/>
    </xf>
    <xf numFmtId="0" fontId="30" fillId="0" borderId="0" xfId="6" applyFont="1" applyAlignment="1">
      <alignment horizontal="right" vertical="center" wrapText="1"/>
    </xf>
    <xf numFmtId="0" fontId="89" fillId="0" borderId="1" xfId="6" applyFont="1" applyBorder="1" applyAlignment="1">
      <alignment horizontal="center" vertical="center" wrapText="1"/>
    </xf>
  </cellXfs>
  <cellStyles count="12">
    <cellStyle name="Normalny" xfId="0" builtinId="0"/>
    <cellStyle name="Normalny 2" xfId="4" xr:uid="{78CBFB66-B1BC-4EC8-933A-89F5A963D240}"/>
    <cellStyle name="Normalny 2 2" xfId="6" xr:uid="{C3DDF6FC-AADB-4474-AF20-1C55839E35D6}"/>
    <cellStyle name="Normalny 2 3" xfId="10" xr:uid="{4F57395C-C79B-4E2A-8A8E-01FB15403C61}"/>
    <cellStyle name="Normalny 2 4" xfId="9" xr:uid="{A3109F21-107E-4731-AF25-85ED6003070C}"/>
    <cellStyle name="Normalny 3 2 4" xfId="5" xr:uid="{6789989C-0CEF-43DE-8DBA-E0B58BAD76D0}"/>
    <cellStyle name="Normalny 5 2 2" xfId="11" xr:uid="{E43FD4BE-5645-4395-8EAE-C704030A4C61}"/>
    <cellStyle name="Normalny 6" xfId="8" xr:uid="{0E89737C-45C6-45C4-97A0-EB290A19301A}"/>
    <cellStyle name="Normalny 7" xfId="2" xr:uid="{B584DF7C-5E76-4890-9BDA-4B68CF44D5B0}"/>
    <cellStyle name="Normalny_Arkusz1" xfId="7" xr:uid="{EF57CFF4-CD75-4656-8DEC-62E7FDD5C33D}"/>
    <cellStyle name="Procentowy" xfId="1" builtinId="5"/>
    <cellStyle name="Procentowy 3" xfId="3" xr:uid="{8FEF7BF3-B3FF-4FAA-B846-50A5E2EBCA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C51A-BD4D-4253-A797-E46D628610AC}">
  <sheetPr>
    <pageSetUpPr fitToPage="1"/>
  </sheetPr>
  <dimension ref="A1:CC1169"/>
  <sheetViews>
    <sheetView tabSelected="1" view="pageBreakPreview" zoomScale="90" zoomScaleNormal="100" zoomScaleSheetLayoutView="90" workbookViewId="0">
      <pane ySplit="8" topLeftCell="A9" activePane="bottomLeft" state="frozen"/>
      <selection pane="bottomLeft"/>
    </sheetView>
  </sheetViews>
  <sheetFormatPr defaultColWidth="9.140625" defaultRowHeight="15"/>
  <cols>
    <col min="1" max="1" width="8.7109375" style="1150" customWidth="1"/>
    <col min="2" max="2" width="8.85546875" style="1150" customWidth="1"/>
    <col min="3" max="3" width="55.42578125" style="1151" customWidth="1"/>
    <col min="4" max="4" width="11.85546875" style="1151" customWidth="1"/>
    <col min="5" max="5" width="17.85546875" style="1143" hidden="1" customWidth="1"/>
    <col min="6" max="6" width="22.28515625" style="1141" hidden="1" customWidth="1"/>
    <col min="7" max="7" width="16.5703125" style="1141" hidden="1" customWidth="1"/>
    <col min="8" max="8" width="13.7109375" style="1141" hidden="1" customWidth="1"/>
    <col min="9" max="9" width="13.7109375" style="1144" hidden="1" customWidth="1"/>
    <col min="10" max="10" width="23.7109375" style="1141" customWidth="1"/>
    <col min="11" max="11" width="10.5703125" style="1141" hidden="1" customWidth="1"/>
    <col min="12" max="12" width="54.85546875" style="1149" hidden="1" customWidth="1"/>
    <col min="13" max="13" width="9.140625" style="6"/>
    <col min="14" max="14" width="12" style="6" bestFit="1" customWidth="1"/>
    <col min="15" max="16384" width="9.140625" style="6"/>
  </cols>
  <sheetData>
    <row r="1" spans="1:13" ht="75.75" customHeight="1">
      <c r="D1" s="4010" t="s">
        <v>1449</v>
      </c>
      <c r="E1" s="4010"/>
      <c r="F1" s="4010"/>
      <c r="G1" s="4010"/>
      <c r="H1" s="4010"/>
      <c r="I1" s="4010"/>
      <c r="J1" s="4010"/>
    </row>
    <row r="2" spans="1:13" s="1" customFormat="1" ht="42.75" customHeight="1">
      <c r="A2" s="3745" t="s">
        <v>417</v>
      </c>
      <c r="B2" s="3745"/>
      <c r="C2" s="3745"/>
      <c r="D2" s="3745"/>
      <c r="E2" s="3745"/>
      <c r="F2" s="3745"/>
      <c r="G2" s="3745"/>
      <c r="H2" s="3745"/>
      <c r="I2" s="3745"/>
      <c r="J2" s="3745"/>
      <c r="K2" s="3745"/>
      <c r="L2" s="3745"/>
    </row>
    <row r="3" spans="1:13" s="1" customFormat="1" ht="44.25" hidden="1" customHeight="1">
      <c r="A3" s="3745" t="s">
        <v>0</v>
      </c>
      <c r="B3" s="3745"/>
      <c r="C3" s="3745"/>
      <c r="D3" s="3745"/>
      <c r="E3" s="3745"/>
      <c r="F3" s="2"/>
      <c r="G3" s="2"/>
      <c r="H3" s="2"/>
      <c r="I3" s="3"/>
      <c r="J3" s="2"/>
      <c r="K3" s="2"/>
      <c r="L3" s="4"/>
    </row>
    <row r="4" spans="1:13" s="1" customFormat="1" ht="15.75" customHeight="1" thickBot="1">
      <c r="A4" s="5"/>
      <c r="B4" s="5"/>
      <c r="C4" s="5"/>
      <c r="D4" s="5"/>
      <c r="E4" s="6"/>
      <c r="F4" s="2"/>
      <c r="G4" s="2"/>
      <c r="H4" s="7" t="s">
        <v>1</v>
      </c>
      <c r="I4" s="8"/>
      <c r="J4" s="1155" t="s">
        <v>1</v>
      </c>
      <c r="K4" s="9"/>
      <c r="L4" s="4"/>
    </row>
    <row r="5" spans="1:13" s="1" customFormat="1" ht="8.25" customHeight="1" thickBot="1">
      <c r="A5" s="10"/>
      <c r="B5" s="11"/>
      <c r="C5" s="12"/>
      <c r="D5" s="12"/>
      <c r="E5" s="13"/>
      <c r="F5" s="2"/>
      <c r="G5" s="2"/>
      <c r="H5" s="2"/>
      <c r="I5" s="3"/>
      <c r="J5" s="2"/>
      <c r="K5" s="2"/>
      <c r="L5" s="4"/>
    </row>
    <row r="6" spans="1:13" s="14" customFormat="1" ht="40.5" customHeight="1" thickBot="1">
      <c r="A6" s="3746" t="s">
        <v>2</v>
      </c>
      <c r="B6" s="3747" t="s">
        <v>3</v>
      </c>
      <c r="C6" s="3749" t="s">
        <v>4</v>
      </c>
      <c r="D6" s="3747" t="s">
        <v>5</v>
      </c>
      <c r="E6" s="3751" t="s">
        <v>6</v>
      </c>
      <c r="F6" s="3753" t="s">
        <v>7</v>
      </c>
      <c r="G6" s="3751" t="s">
        <v>8</v>
      </c>
      <c r="H6" s="3755" t="s">
        <v>9</v>
      </c>
      <c r="I6" s="3769" t="s">
        <v>10</v>
      </c>
      <c r="J6" s="3771" t="s">
        <v>418</v>
      </c>
      <c r="K6" s="3773" t="s">
        <v>11</v>
      </c>
      <c r="L6" s="3775" t="s">
        <v>12</v>
      </c>
    </row>
    <row r="7" spans="1:13" s="14" customFormat="1" ht="15.75" customHeight="1" thickBot="1">
      <c r="A7" s="3746"/>
      <c r="B7" s="3748"/>
      <c r="C7" s="3750"/>
      <c r="D7" s="3748"/>
      <c r="E7" s="3752"/>
      <c r="F7" s="3754"/>
      <c r="G7" s="3752"/>
      <c r="H7" s="3756"/>
      <c r="I7" s="3770"/>
      <c r="J7" s="3772"/>
      <c r="K7" s="3774"/>
      <c r="L7" s="3776"/>
    </row>
    <row r="8" spans="1:13" s="23" customFormat="1" ht="12.75" thickBot="1">
      <c r="A8" s="15" t="s">
        <v>13</v>
      </c>
      <c r="B8" s="16" t="s">
        <v>14</v>
      </c>
      <c r="C8" s="17" t="s">
        <v>15</v>
      </c>
      <c r="D8" s="15" t="s">
        <v>16</v>
      </c>
      <c r="E8" s="18" t="s">
        <v>17</v>
      </c>
      <c r="F8" s="19" t="s">
        <v>17</v>
      </c>
      <c r="G8" s="20" t="s">
        <v>18</v>
      </c>
      <c r="H8" s="19" t="s">
        <v>19</v>
      </c>
      <c r="I8" s="21" t="s">
        <v>20</v>
      </c>
      <c r="J8" s="19" t="s">
        <v>17</v>
      </c>
      <c r="K8" s="22" t="s">
        <v>18</v>
      </c>
      <c r="L8" s="19">
        <v>9</v>
      </c>
    </row>
    <row r="9" spans="1:13" ht="15.75" thickBot="1">
      <c r="A9" s="24" t="s">
        <v>21</v>
      </c>
      <c r="B9" s="25"/>
      <c r="C9" s="26" t="s">
        <v>22</v>
      </c>
      <c r="D9" s="27"/>
      <c r="E9" s="28">
        <f t="shared" ref="E9:F9" si="0">SUM(E10,E17,E25,E33,)</f>
        <v>41485000</v>
      </c>
      <c r="F9" s="28">
        <f t="shared" si="0"/>
        <v>41574996</v>
      </c>
      <c r="G9" s="29">
        <f>SUM(G10,G17,G25,G33,)</f>
        <v>45201200</v>
      </c>
      <c r="H9" s="30">
        <f>G9/E9</f>
        <v>1.0895793660359165</v>
      </c>
      <c r="I9" s="28">
        <f t="shared" ref="I9:J9" si="1">SUM(I10,I17,I25,I33,)</f>
        <v>362000</v>
      </c>
      <c r="J9" s="166">
        <f t="shared" si="1"/>
        <v>45563200</v>
      </c>
      <c r="K9" s="31">
        <f>J9/F9</f>
        <v>1.0959279466918048</v>
      </c>
      <c r="L9" s="32"/>
    </row>
    <row r="10" spans="1:13" ht="15.75" thickBot="1">
      <c r="A10" s="33"/>
      <c r="B10" s="34" t="s">
        <v>23</v>
      </c>
      <c r="C10" s="35" t="s">
        <v>24</v>
      </c>
      <c r="D10" s="36"/>
      <c r="E10" s="37">
        <f t="shared" ref="E10:G10" si="2">SUM(E11,E15)</f>
        <v>16400000</v>
      </c>
      <c r="F10" s="37">
        <f t="shared" si="2"/>
        <v>16400000</v>
      </c>
      <c r="G10" s="38">
        <f t="shared" si="2"/>
        <v>21124200</v>
      </c>
      <c r="H10" s="39">
        <f t="shared" ref="H10:H73" si="3">G10/E10</f>
        <v>1.2880609756097561</v>
      </c>
      <c r="I10" s="37">
        <f t="shared" ref="I10:J10" si="4">SUM(I11,I15)</f>
        <v>0</v>
      </c>
      <c r="J10" s="37">
        <f t="shared" si="4"/>
        <v>21124200</v>
      </c>
      <c r="K10" s="40">
        <f t="shared" ref="K10:K73" si="5">J10/F10</f>
        <v>1.2880609756097561</v>
      </c>
      <c r="L10" s="41"/>
    </row>
    <row r="11" spans="1:13" ht="13.5" customHeight="1">
      <c r="A11" s="42"/>
      <c r="B11" s="3777" t="s">
        <v>25</v>
      </c>
      <c r="C11" s="3777"/>
      <c r="D11" s="43"/>
      <c r="E11" s="44">
        <f t="shared" ref="E11:F11" si="6">SUM(E12:E14)</f>
        <v>16400000</v>
      </c>
      <c r="F11" s="44">
        <f t="shared" si="6"/>
        <v>16400000</v>
      </c>
      <c r="G11" s="45">
        <f t="shared" ref="G11" si="7">SUM(G12:G14)</f>
        <v>21124200</v>
      </c>
      <c r="H11" s="46">
        <f t="shared" si="3"/>
        <v>1.2880609756097561</v>
      </c>
      <c r="I11" s="44">
        <f t="shared" ref="I11:J11" si="8">SUM(I12:I14)</f>
        <v>0</v>
      </c>
      <c r="J11" s="44">
        <f t="shared" si="8"/>
        <v>21124200</v>
      </c>
      <c r="K11" s="47">
        <f t="shared" si="5"/>
        <v>1.2880609756097561</v>
      </c>
      <c r="L11" s="48"/>
    </row>
    <row r="12" spans="1:13" ht="15" customHeight="1">
      <c r="A12" s="42"/>
      <c r="B12" s="3761"/>
      <c r="C12" s="3778" t="s">
        <v>26</v>
      </c>
      <c r="D12" s="49" t="s">
        <v>27</v>
      </c>
      <c r="E12" s="50">
        <v>23625</v>
      </c>
      <c r="F12" s="51">
        <v>23625</v>
      </c>
      <c r="G12" s="52">
        <v>17600</v>
      </c>
      <c r="H12" s="53">
        <f t="shared" si="3"/>
        <v>0.74497354497354495</v>
      </c>
      <c r="I12" s="54">
        <v>0</v>
      </c>
      <c r="J12" s="98">
        <f>SUM(G12,I12)</f>
        <v>17600</v>
      </c>
      <c r="K12" s="56">
        <f t="shared" si="5"/>
        <v>0.74497354497354495</v>
      </c>
      <c r="L12" s="3781"/>
    </row>
    <row r="13" spans="1:13" ht="16.5" customHeight="1">
      <c r="A13" s="42"/>
      <c r="B13" s="3762"/>
      <c r="C13" s="3779"/>
      <c r="D13" s="58" t="s">
        <v>28</v>
      </c>
      <c r="E13" s="50">
        <v>16374025</v>
      </c>
      <c r="F13" s="51">
        <v>16374025</v>
      </c>
      <c r="G13" s="52">
        <f>21000000+81000+22400</f>
        <v>21103400</v>
      </c>
      <c r="H13" s="53">
        <f t="shared" si="3"/>
        <v>1.2888339916422504</v>
      </c>
      <c r="I13" s="54">
        <v>0</v>
      </c>
      <c r="J13" s="98">
        <f t="shared" ref="J13:J14" si="9">SUM(G13,I13)</f>
        <v>21103400</v>
      </c>
      <c r="K13" s="56">
        <f t="shared" si="5"/>
        <v>1.2888339916422504</v>
      </c>
      <c r="L13" s="3782"/>
    </row>
    <row r="14" spans="1:13" ht="17.25" customHeight="1">
      <c r="A14" s="42"/>
      <c r="B14" s="3763"/>
      <c r="C14" s="3780"/>
      <c r="D14" s="60" t="s">
        <v>29</v>
      </c>
      <c r="E14" s="50">
        <v>2350</v>
      </c>
      <c r="F14" s="51">
        <v>2350</v>
      </c>
      <c r="G14" s="52">
        <v>3200</v>
      </c>
      <c r="H14" s="53">
        <f t="shared" si="3"/>
        <v>1.3617021276595744</v>
      </c>
      <c r="I14" s="61">
        <v>0</v>
      </c>
      <c r="J14" s="98">
        <f t="shared" si="9"/>
        <v>3200</v>
      </c>
      <c r="K14" s="56">
        <f t="shared" si="5"/>
        <v>1.3617021276595744</v>
      </c>
      <c r="L14" s="3783"/>
      <c r="M14" s="62"/>
    </row>
    <row r="15" spans="1:13" ht="13.5" customHeight="1" thickBot="1">
      <c r="A15" s="42"/>
      <c r="B15" s="3757" t="s">
        <v>30</v>
      </c>
      <c r="C15" s="3758"/>
      <c r="D15" s="63"/>
      <c r="E15" s="64">
        <v>0</v>
      </c>
      <c r="F15" s="65">
        <f t="shared" ref="F15" si="10">SUM(F16)</f>
        <v>0</v>
      </c>
      <c r="G15" s="66">
        <v>0</v>
      </c>
      <c r="H15" s="67"/>
      <c r="I15" s="68">
        <v>0</v>
      </c>
      <c r="J15" s="68">
        <v>0</v>
      </c>
      <c r="K15" s="69"/>
      <c r="L15" s="70"/>
      <c r="M15" s="62"/>
    </row>
    <row r="16" spans="1:13" ht="29.25" hidden="1" customHeight="1" thickBot="1">
      <c r="A16" s="42"/>
      <c r="B16" s="71"/>
      <c r="C16" s="72" t="s">
        <v>31</v>
      </c>
      <c r="D16" s="73" t="s">
        <v>32</v>
      </c>
      <c r="E16" s="74"/>
      <c r="F16" s="75"/>
      <c r="G16" s="76"/>
      <c r="H16" s="30" t="e">
        <f t="shared" si="3"/>
        <v>#DIV/0!</v>
      </c>
      <c r="I16" s="77"/>
      <c r="J16" s="77"/>
      <c r="K16" s="78" t="e">
        <f t="shared" si="5"/>
        <v>#DIV/0!</v>
      </c>
      <c r="L16" s="79"/>
    </row>
    <row r="17" spans="1:12" ht="15.75" thickBot="1">
      <c r="A17" s="42"/>
      <c r="B17" s="34" t="s">
        <v>33</v>
      </c>
      <c r="C17" s="35" t="s">
        <v>34</v>
      </c>
      <c r="D17" s="36"/>
      <c r="E17" s="80">
        <f t="shared" ref="E17:G17" si="11">SUM(E18,E24)</f>
        <v>9000000</v>
      </c>
      <c r="F17" s="80">
        <f t="shared" si="11"/>
        <v>8999996</v>
      </c>
      <c r="G17" s="81">
        <f t="shared" si="11"/>
        <v>8810000</v>
      </c>
      <c r="H17" s="39">
        <f t="shared" si="3"/>
        <v>0.97888888888888892</v>
      </c>
      <c r="I17" s="80">
        <f t="shared" ref="I17:J17" si="12">SUM(I18,I24)</f>
        <v>0</v>
      </c>
      <c r="J17" s="80">
        <f t="shared" si="12"/>
        <v>8810000</v>
      </c>
      <c r="K17" s="82">
        <f t="shared" si="5"/>
        <v>0.97888932395081063</v>
      </c>
      <c r="L17" s="41"/>
    </row>
    <row r="18" spans="1:12" ht="14.25" customHeight="1">
      <c r="A18" s="42"/>
      <c r="B18" s="3759" t="s">
        <v>25</v>
      </c>
      <c r="C18" s="3760"/>
      <c r="D18" s="83"/>
      <c r="E18" s="84">
        <f>SUM(E20:E23)</f>
        <v>9000000</v>
      </c>
      <c r="F18" s="84">
        <f>SUM(F20:F23)</f>
        <v>8999996</v>
      </c>
      <c r="G18" s="85">
        <f>SUM(G20:G23)</f>
        <v>8810000</v>
      </c>
      <c r="H18" s="86">
        <f t="shared" si="3"/>
        <v>0.97888888888888892</v>
      </c>
      <c r="I18" s="84">
        <f>SUM(I20:I23)</f>
        <v>0</v>
      </c>
      <c r="J18" s="84">
        <f>SUM(J20:J23)</f>
        <v>8810000</v>
      </c>
      <c r="K18" s="47">
        <f t="shared" si="5"/>
        <v>0.97888932395081063</v>
      </c>
      <c r="L18" s="48"/>
    </row>
    <row r="19" spans="1:12" ht="25.5" hidden="1">
      <c r="A19" s="42"/>
      <c r="B19" s="87"/>
      <c r="C19" s="88" t="s">
        <v>35</v>
      </c>
      <c r="D19" s="89" t="s">
        <v>36</v>
      </c>
      <c r="E19" s="90"/>
      <c r="F19" s="51"/>
      <c r="G19" s="52"/>
      <c r="H19" s="30" t="e">
        <f t="shared" si="3"/>
        <v>#DIV/0!</v>
      </c>
      <c r="I19" s="77"/>
      <c r="J19" s="77"/>
      <c r="K19" s="56" t="e">
        <f t="shared" si="5"/>
        <v>#DIV/0!</v>
      </c>
      <c r="L19" s="91"/>
    </row>
    <row r="20" spans="1:12" ht="39.75" customHeight="1">
      <c r="A20" s="42"/>
      <c r="B20" s="3761"/>
      <c r="C20" s="92" t="s">
        <v>37</v>
      </c>
      <c r="D20" s="93">
        <v>2058</v>
      </c>
      <c r="E20" s="50">
        <v>5726000</v>
      </c>
      <c r="F20" s="51">
        <v>5726000</v>
      </c>
      <c r="G20" s="52">
        <v>5605000</v>
      </c>
      <c r="H20" s="53">
        <f t="shared" si="3"/>
        <v>0.97886831994411461</v>
      </c>
      <c r="I20" s="54">
        <v>0</v>
      </c>
      <c r="J20" s="98">
        <f>SUM(G20,I20)</f>
        <v>5605000</v>
      </c>
      <c r="K20" s="56">
        <f t="shared" si="5"/>
        <v>0.97886831994411461</v>
      </c>
      <c r="L20" s="3764"/>
    </row>
    <row r="21" spans="1:12" ht="41.25" customHeight="1">
      <c r="A21" s="42"/>
      <c r="B21" s="3762"/>
      <c r="C21" s="92" t="s">
        <v>38</v>
      </c>
      <c r="D21" s="95">
        <v>2059</v>
      </c>
      <c r="E21" s="50">
        <v>3274000</v>
      </c>
      <c r="F21" s="51">
        <v>3273935</v>
      </c>
      <c r="G21" s="52">
        <v>3205000</v>
      </c>
      <c r="H21" s="53">
        <f t="shared" si="3"/>
        <v>0.97892486255345146</v>
      </c>
      <c r="I21" s="61">
        <v>0</v>
      </c>
      <c r="J21" s="98">
        <f t="shared" ref="J21:J23" si="13">SUM(G21,I21)</f>
        <v>3205000</v>
      </c>
      <c r="K21" s="56">
        <f t="shared" si="5"/>
        <v>0.9789442979167271</v>
      </c>
      <c r="L21" s="3765"/>
    </row>
    <row r="22" spans="1:12" ht="51" hidden="1">
      <c r="A22" s="42"/>
      <c r="B22" s="3762"/>
      <c r="C22" s="92" t="s">
        <v>39</v>
      </c>
      <c r="D22" s="93">
        <v>2918</v>
      </c>
      <c r="E22" s="97">
        <v>0</v>
      </c>
      <c r="F22" s="51">
        <v>39</v>
      </c>
      <c r="G22" s="52">
        <v>0</v>
      </c>
      <c r="H22" s="53"/>
      <c r="I22" s="98">
        <v>0</v>
      </c>
      <c r="J22" s="98">
        <f t="shared" si="13"/>
        <v>0</v>
      </c>
      <c r="K22" s="56">
        <f t="shared" si="5"/>
        <v>0</v>
      </c>
      <c r="L22" s="99"/>
    </row>
    <row r="23" spans="1:12" ht="51" hidden="1">
      <c r="A23" s="42"/>
      <c r="B23" s="3763"/>
      <c r="C23" s="92" t="s">
        <v>39</v>
      </c>
      <c r="D23" s="100">
        <v>2919</v>
      </c>
      <c r="E23" s="97">
        <v>0</v>
      </c>
      <c r="F23" s="51">
        <v>22</v>
      </c>
      <c r="G23" s="52">
        <v>0</v>
      </c>
      <c r="H23" s="53"/>
      <c r="I23" s="98">
        <v>0</v>
      </c>
      <c r="J23" s="98">
        <f t="shared" si="13"/>
        <v>0</v>
      </c>
      <c r="K23" s="56">
        <f t="shared" si="5"/>
        <v>0</v>
      </c>
      <c r="L23" s="99"/>
    </row>
    <row r="24" spans="1:12" ht="13.5" customHeight="1" thickBot="1">
      <c r="A24" s="42"/>
      <c r="B24" s="3766" t="s">
        <v>30</v>
      </c>
      <c r="C24" s="3767"/>
      <c r="D24" s="101"/>
      <c r="E24" s="102">
        <v>0</v>
      </c>
      <c r="F24" s="102">
        <v>0</v>
      </c>
      <c r="G24" s="103">
        <v>0</v>
      </c>
      <c r="H24" s="67"/>
      <c r="I24" s="68">
        <v>0</v>
      </c>
      <c r="J24" s="68">
        <v>0</v>
      </c>
      <c r="K24" s="104"/>
      <c r="L24" s="105"/>
    </row>
    <row r="25" spans="1:12" ht="15.75" thickBot="1">
      <c r="A25" s="42"/>
      <c r="B25" s="34" t="s">
        <v>40</v>
      </c>
      <c r="C25" s="35" t="s">
        <v>41</v>
      </c>
      <c r="D25" s="36"/>
      <c r="E25" s="106">
        <f>SUM(E31,E26)</f>
        <v>12500000</v>
      </c>
      <c r="F25" s="106">
        <f>SUM(F31,F26)</f>
        <v>12500000</v>
      </c>
      <c r="G25" s="107">
        <f>SUM(G31,G26)</f>
        <v>12000000</v>
      </c>
      <c r="H25" s="39">
        <f t="shared" si="3"/>
        <v>0.96</v>
      </c>
      <c r="I25" s="37">
        <f>SUM(I31,I26)</f>
        <v>0</v>
      </c>
      <c r="J25" s="37">
        <f>SUM(J31,J26)</f>
        <v>12000000</v>
      </c>
      <c r="K25" s="82">
        <f t="shared" si="5"/>
        <v>0.96</v>
      </c>
      <c r="L25" s="41"/>
    </row>
    <row r="26" spans="1:12" ht="12.75" customHeight="1">
      <c r="A26" s="42"/>
      <c r="B26" s="3768" t="s">
        <v>25</v>
      </c>
      <c r="C26" s="3768"/>
      <c r="D26" s="108"/>
      <c r="E26" s="109">
        <f t="shared" ref="E26:F26" si="14">SUM(E27:E30)</f>
        <v>12500000</v>
      </c>
      <c r="F26" s="109">
        <f t="shared" si="14"/>
        <v>12500000</v>
      </c>
      <c r="G26" s="110">
        <f t="shared" ref="G26" si="15">SUM(G27:G30)</f>
        <v>12000000</v>
      </c>
      <c r="H26" s="46">
        <f t="shared" si="3"/>
        <v>0.96</v>
      </c>
      <c r="I26" s="109">
        <f t="shared" ref="I26:J26" si="16">SUM(I27:I30)</f>
        <v>0</v>
      </c>
      <c r="J26" s="109">
        <f t="shared" si="16"/>
        <v>12000000</v>
      </c>
      <c r="K26" s="47">
        <f t="shared" si="5"/>
        <v>0.96</v>
      </c>
      <c r="L26" s="48"/>
    </row>
    <row r="27" spans="1:12" ht="16.5" customHeight="1">
      <c r="A27" s="42"/>
      <c r="B27" s="3791"/>
      <c r="C27" s="111" t="s">
        <v>42</v>
      </c>
      <c r="D27" s="49" t="s">
        <v>43</v>
      </c>
      <c r="E27" s="50">
        <v>12500000</v>
      </c>
      <c r="F27" s="51">
        <v>12500000</v>
      </c>
      <c r="G27" s="52">
        <v>12000000</v>
      </c>
      <c r="H27" s="53">
        <f t="shared" si="3"/>
        <v>0.96</v>
      </c>
      <c r="I27" s="98">
        <v>0</v>
      </c>
      <c r="J27" s="98">
        <f t="shared" ref="J27" si="17">SUM(G27,I27)</f>
        <v>12000000</v>
      </c>
      <c r="K27" s="56">
        <f t="shared" si="5"/>
        <v>0.96</v>
      </c>
      <c r="L27" s="99"/>
    </row>
    <row r="28" spans="1:12" hidden="1">
      <c r="A28" s="42"/>
      <c r="B28" s="3792"/>
      <c r="C28" s="112"/>
      <c r="D28" s="113"/>
      <c r="E28" s="114"/>
      <c r="F28" s="75"/>
      <c r="G28" s="52"/>
      <c r="H28" s="115" t="e">
        <f t="shared" si="3"/>
        <v>#DIV/0!</v>
      </c>
      <c r="I28" s="77"/>
      <c r="J28" s="77"/>
      <c r="K28" s="56" t="e">
        <f t="shared" si="5"/>
        <v>#DIV/0!</v>
      </c>
      <c r="L28" s="99"/>
    </row>
    <row r="29" spans="1:12" ht="13.5" hidden="1" customHeight="1">
      <c r="A29" s="42"/>
      <c r="B29" s="116"/>
      <c r="C29" s="1183" t="s">
        <v>44</v>
      </c>
      <c r="D29" s="117" t="s">
        <v>45</v>
      </c>
      <c r="E29" s="118"/>
      <c r="F29" s="75"/>
      <c r="G29" s="52"/>
      <c r="H29" s="30" t="e">
        <f t="shared" si="3"/>
        <v>#DIV/0!</v>
      </c>
      <c r="I29" s="77"/>
      <c r="J29" s="77"/>
      <c r="K29" s="56" t="e">
        <f t="shared" si="5"/>
        <v>#DIV/0!</v>
      </c>
      <c r="L29" s="91"/>
    </row>
    <row r="30" spans="1:12" ht="13.5" hidden="1" customHeight="1" thickBot="1">
      <c r="A30" s="42"/>
      <c r="B30" s="119"/>
      <c r="C30" s="120" t="s">
        <v>46</v>
      </c>
      <c r="D30" s="113" t="s">
        <v>47</v>
      </c>
      <c r="E30" s="114"/>
      <c r="F30" s="75"/>
      <c r="G30" s="52"/>
      <c r="H30" s="30" t="e">
        <f t="shared" si="3"/>
        <v>#DIV/0!</v>
      </c>
      <c r="I30" s="77"/>
      <c r="J30" s="77"/>
      <c r="K30" s="56" t="e">
        <f t="shared" si="5"/>
        <v>#DIV/0!</v>
      </c>
      <c r="L30" s="91"/>
    </row>
    <row r="31" spans="1:12" ht="13.5" customHeight="1" thickBot="1">
      <c r="A31" s="42"/>
      <c r="B31" s="3793" t="s">
        <v>30</v>
      </c>
      <c r="C31" s="3794"/>
      <c r="D31" s="121"/>
      <c r="E31" s="122">
        <v>0</v>
      </c>
      <c r="F31" s="122">
        <f t="shared" ref="F31" si="18">SUM(F32)</f>
        <v>0</v>
      </c>
      <c r="G31" s="103">
        <v>0</v>
      </c>
      <c r="H31" s="123"/>
      <c r="I31" s="68">
        <v>0</v>
      </c>
      <c r="J31" s="68">
        <v>0</v>
      </c>
      <c r="K31" s="69"/>
      <c r="L31" s="124"/>
    </row>
    <row r="32" spans="1:12" ht="26.25" hidden="1" thickBot="1">
      <c r="A32" s="42"/>
      <c r="B32" s="125"/>
      <c r="C32" s="126" t="s">
        <v>48</v>
      </c>
      <c r="D32" s="127"/>
      <c r="E32" s="128"/>
      <c r="F32" s="129"/>
      <c r="G32" s="130"/>
      <c r="H32" s="30" t="e">
        <f t="shared" si="3"/>
        <v>#DIV/0!</v>
      </c>
      <c r="I32" s="131"/>
      <c r="J32" s="131"/>
      <c r="K32" s="78" t="e">
        <f t="shared" si="5"/>
        <v>#DIV/0!</v>
      </c>
      <c r="L32" s="133"/>
    </row>
    <row r="33" spans="1:12" ht="15.75" thickBot="1">
      <c r="A33" s="42"/>
      <c r="B33" s="134" t="s">
        <v>49</v>
      </c>
      <c r="C33" s="35" t="s">
        <v>50</v>
      </c>
      <c r="D33" s="36"/>
      <c r="E33" s="80">
        <f>E34+E39</f>
        <v>3585000</v>
      </c>
      <c r="F33" s="80">
        <f>F34+F39</f>
        <v>3675000</v>
      </c>
      <c r="G33" s="81">
        <f t="shared" ref="G33" si="19">G34+G39</f>
        <v>3267000</v>
      </c>
      <c r="H33" s="39">
        <f t="shared" si="3"/>
        <v>0.91129707112970715</v>
      </c>
      <c r="I33" s="80">
        <f>I34+I39</f>
        <v>362000</v>
      </c>
      <c r="J33" s="80">
        <f>J34+J39</f>
        <v>3629000</v>
      </c>
      <c r="K33" s="82">
        <f t="shared" si="5"/>
        <v>0.98748299319727895</v>
      </c>
      <c r="L33" s="135"/>
    </row>
    <row r="34" spans="1:12">
      <c r="A34" s="42"/>
      <c r="B34" s="3759" t="s">
        <v>25</v>
      </c>
      <c r="C34" s="3760"/>
      <c r="D34" s="136"/>
      <c r="E34" s="64">
        <f>SUM(E35:E38)</f>
        <v>3585000</v>
      </c>
      <c r="F34" s="64">
        <f>SUM(F35:F38)</f>
        <v>3675000</v>
      </c>
      <c r="G34" s="137">
        <f>SUM(G35:G38)</f>
        <v>3267000</v>
      </c>
      <c r="H34" s="138">
        <f t="shared" si="3"/>
        <v>0.91129707112970715</v>
      </c>
      <c r="I34" s="64">
        <f>SUM(I35:I38)</f>
        <v>362000</v>
      </c>
      <c r="J34" s="64">
        <f>SUM(J35:J38)</f>
        <v>3629000</v>
      </c>
      <c r="K34" s="47">
        <f t="shared" si="5"/>
        <v>0.98748299319727895</v>
      </c>
      <c r="L34" s="139"/>
    </row>
    <row r="35" spans="1:12" ht="54" hidden="1" customHeight="1">
      <c r="A35" s="42"/>
      <c r="B35" s="116"/>
      <c r="C35" s="140" t="s">
        <v>51</v>
      </c>
      <c r="D35" s="141" t="s">
        <v>52</v>
      </c>
      <c r="E35" s="114">
        <v>0</v>
      </c>
      <c r="F35" s="51"/>
      <c r="G35" s="52"/>
      <c r="H35" s="115" t="e">
        <f t="shared" si="3"/>
        <v>#DIV/0!</v>
      </c>
      <c r="I35" s="131"/>
      <c r="J35" s="131"/>
      <c r="K35" s="56" t="e">
        <f t="shared" si="5"/>
        <v>#DIV/0!</v>
      </c>
      <c r="L35" s="142"/>
    </row>
    <row r="36" spans="1:12" ht="40.5" customHeight="1">
      <c r="A36" s="42"/>
      <c r="B36" s="116"/>
      <c r="C36" s="143" t="s">
        <v>53</v>
      </c>
      <c r="D36" s="144">
        <v>2210</v>
      </c>
      <c r="E36" s="50">
        <v>3585000</v>
      </c>
      <c r="F36" s="51">
        <f>3585000</f>
        <v>3585000</v>
      </c>
      <c r="G36" s="52">
        <v>3267000</v>
      </c>
      <c r="H36" s="53">
        <f t="shared" si="3"/>
        <v>0.91129707112970715</v>
      </c>
      <c r="I36" s="98">
        <v>362000</v>
      </c>
      <c r="J36" s="98">
        <f t="shared" ref="J36" si="20">SUM(G36,I36)</f>
        <v>3629000</v>
      </c>
      <c r="K36" s="56">
        <f t="shared" si="5"/>
        <v>1.012273361227336</v>
      </c>
      <c r="L36" s="145"/>
    </row>
    <row r="37" spans="1:12" ht="30" hidden="1" customHeight="1">
      <c r="A37" s="42"/>
      <c r="B37" s="116"/>
      <c r="C37" s="146" t="s">
        <v>54</v>
      </c>
      <c r="D37" s="147">
        <v>2460</v>
      </c>
      <c r="E37" s="114">
        <v>0</v>
      </c>
      <c r="F37" s="51"/>
      <c r="G37" s="76"/>
      <c r="H37" s="53" t="e">
        <f t="shared" si="3"/>
        <v>#DIV/0!</v>
      </c>
      <c r="I37" s="98"/>
      <c r="J37" s="98"/>
      <c r="K37" s="56" t="e">
        <f t="shared" si="5"/>
        <v>#DIV/0!</v>
      </c>
      <c r="L37" s="91"/>
    </row>
    <row r="38" spans="1:12" ht="30" hidden="1" customHeight="1">
      <c r="A38" s="42"/>
      <c r="B38" s="148"/>
      <c r="C38" s="149" t="s">
        <v>54</v>
      </c>
      <c r="D38" s="150">
        <v>2460</v>
      </c>
      <c r="E38" s="97">
        <v>0</v>
      </c>
      <c r="F38" s="51">
        <v>90000</v>
      </c>
      <c r="G38" s="151">
        <v>0</v>
      </c>
      <c r="H38" s="53"/>
      <c r="I38" s="98">
        <v>0</v>
      </c>
      <c r="J38" s="98">
        <f t="shared" ref="J38" si="21">SUM(G38,I38)</f>
        <v>0</v>
      </c>
      <c r="K38" s="56">
        <f t="shared" si="5"/>
        <v>0</v>
      </c>
      <c r="L38" s="91"/>
    </row>
    <row r="39" spans="1:12" ht="15.75" thickBot="1">
      <c r="A39" s="152"/>
      <c r="B39" s="3766" t="s">
        <v>30</v>
      </c>
      <c r="C39" s="3784"/>
      <c r="D39" s="101"/>
      <c r="E39" s="102">
        <v>0</v>
      </c>
      <c r="F39" s="153">
        <v>0</v>
      </c>
      <c r="G39" s="103">
        <v>0</v>
      </c>
      <c r="H39" s="123"/>
      <c r="I39" s="68">
        <v>0</v>
      </c>
      <c r="J39" s="68">
        <v>0</v>
      </c>
      <c r="K39" s="104"/>
      <c r="L39" s="124"/>
    </row>
    <row r="40" spans="1:12" ht="15.75" customHeight="1" thickBot="1">
      <c r="A40" s="154" t="s">
        <v>55</v>
      </c>
      <c r="B40" s="155"/>
      <c r="C40" s="156" t="s">
        <v>56</v>
      </c>
      <c r="D40" s="157"/>
      <c r="E40" s="28">
        <f t="shared" ref="E40:J40" si="22">SUM(E41)</f>
        <v>500000</v>
      </c>
      <c r="F40" s="28">
        <f t="shared" si="22"/>
        <v>500000</v>
      </c>
      <c r="G40" s="29">
        <f t="shared" si="22"/>
        <v>400000</v>
      </c>
      <c r="H40" s="30">
        <f t="shared" si="3"/>
        <v>0.8</v>
      </c>
      <c r="I40" s="28">
        <f t="shared" si="22"/>
        <v>0</v>
      </c>
      <c r="J40" s="28">
        <f t="shared" si="22"/>
        <v>400000</v>
      </c>
      <c r="K40" s="31">
        <f t="shared" si="5"/>
        <v>0.8</v>
      </c>
      <c r="L40" s="32"/>
    </row>
    <row r="41" spans="1:12" ht="51.75" thickBot="1">
      <c r="A41" s="3785"/>
      <c r="B41" s="158" t="s">
        <v>57</v>
      </c>
      <c r="C41" s="35" t="s">
        <v>58</v>
      </c>
      <c r="D41" s="36"/>
      <c r="E41" s="159">
        <f>SUM(E42,E45)</f>
        <v>500000</v>
      </c>
      <c r="F41" s="159">
        <f>SUM(F42,F45)</f>
        <v>500000</v>
      </c>
      <c r="G41" s="160">
        <f>SUM(G42,G45)</f>
        <v>400000</v>
      </c>
      <c r="H41" s="39">
        <f t="shared" si="3"/>
        <v>0.8</v>
      </c>
      <c r="I41" s="159">
        <f>SUM(I42,I45)</f>
        <v>0</v>
      </c>
      <c r="J41" s="159">
        <f>SUM(J42,J45)</f>
        <v>400000</v>
      </c>
      <c r="K41" s="82">
        <f t="shared" si="5"/>
        <v>0.8</v>
      </c>
      <c r="L41" s="41"/>
    </row>
    <row r="42" spans="1:12">
      <c r="A42" s="3786"/>
      <c r="B42" s="3759" t="s">
        <v>25</v>
      </c>
      <c r="C42" s="3760"/>
      <c r="D42" s="83"/>
      <c r="E42" s="84">
        <f>SUM(E43:E44)</f>
        <v>500000</v>
      </c>
      <c r="F42" s="84">
        <f>SUM(F43:F44)</f>
        <v>500000</v>
      </c>
      <c r="G42" s="85">
        <f t="shared" ref="G42" si="23">SUM(G43:G44)</f>
        <v>400000</v>
      </c>
      <c r="H42" s="138">
        <f t="shared" si="3"/>
        <v>0.8</v>
      </c>
      <c r="I42" s="84">
        <f>SUM(I43:I44)</f>
        <v>0</v>
      </c>
      <c r="J42" s="84">
        <f>SUM(J43:J44)</f>
        <v>400000</v>
      </c>
      <c r="K42" s="47">
        <f t="shared" si="5"/>
        <v>0.8</v>
      </c>
      <c r="L42" s="48"/>
    </row>
    <row r="43" spans="1:12" ht="41.25" customHeight="1">
      <c r="A43" s="3786"/>
      <c r="B43" s="3795"/>
      <c r="C43" s="161" t="s">
        <v>59</v>
      </c>
      <c r="D43" s="162">
        <v>2058</v>
      </c>
      <c r="E43" s="50">
        <v>375000</v>
      </c>
      <c r="F43" s="51">
        <v>375000</v>
      </c>
      <c r="G43" s="52">
        <v>300000</v>
      </c>
      <c r="H43" s="53">
        <f t="shared" si="3"/>
        <v>0.8</v>
      </c>
      <c r="I43" s="54">
        <v>0</v>
      </c>
      <c r="J43" s="98">
        <f t="shared" ref="J43:J44" si="24">SUM(G43,I43)</f>
        <v>300000</v>
      </c>
      <c r="K43" s="56">
        <f t="shared" si="5"/>
        <v>0.8</v>
      </c>
      <c r="L43" s="3764"/>
    </row>
    <row r="44" spans="1:12" ht="39.75" customHeight="1">
      <c r="A44" s="3786"/>
      <c r="B44" s="3795"/>
      <c r="C44" s="161" t="s">
        <v>60</v>
      </c>
      <c r="D44" s="162">
        <v>2059</v>
      </c>
      <c r="E44" s="50">
        <v>125000</v>
      </c>
      <c r="F44" s="51">
        <v>125000</v>
      </c>
      <c r="G44" s="52">
        <v>100000</v>
      </c>
      <c r="H44" s="53">
        <f t="shared" si="3"/>
        <v>0.8</v>
      </c>
      <c r="I44" s="61">
        <v>0</v>
      </c>
      <c r="J44" s="98">
        <f t="shared" si="24"/>
        <v>100000</v>
      </c>
      <c r="K44" s="56">
        <f t="shared" si="5"/>
        <v>0.8</v>
      </c>
      <c r="L44" s="3765"/>
    </row>
    <row r="45" spans="1:12" ht="15.75" thickBot="1">
      <c r="A45" s="3787"/>
      <c r="B45" s="3766" t="s">
        <v>30</v>
      </c>
      <c r="C45" s="3784"/>
      <c r="D45" s="163"/>
      <c r="E45" s="102">
        <v>0</v>
      </c>
      <c r="F45" s="102">
        <v>0</v>
      </c>
      <c r="G45" s="164">
        <v>0</v>
      </c>
      <c r="H45" s="123"/>
      <c r="I45" s="68">
        <v>0</v>
      </c>
      <c r="J45" s="68">
        <v>0</v>
      </c>
      <c r="K45" s="104"/>
      <c r="L45" s="105"/>
    </row>
    <row r="46" spans="1:12" ht="15.75" customHeight="1" thickBot="1">
      <c r="A46" s="154" t="s">
        <v>61</v>
      </c>
      <c r="B46" s="155"/>
      <c r="C46" s="165" t="s">
        <v>62</v>
      </c>
      <c r="D46" s="157"/>
      <c r="E46" s="166">
        <f t="shared" ref="E46:J46" si="25">SUM(E47)</f>
        <v>1526</v>
      </c>
      <c r="F46" s="166">
        <f t="shared" si="25"/>
        <v>1526</v>
      </c>
      <c r="G46" s="167">
        <f t="shared" si="25"/>
        <v>2211</v>
      </c>
      <c r="H46" s="115">
        <f t="shared" si="3"/>
        <v>1.4488859764089121</v>
      </c>
      <c r="I46" s="166">
        <f t="shared" si="25"/>
        <v>0</v>
      </c>
      <c r="J46" s="166">
        <f t="shared" si="25"/>
        <v>2211</v>
      </c>
      <c r="K46" s="31">
        <f t="shared" si="5"/>
        <v>1.4488859764089121</v>
      </c>
      <c r="L46" s="168"/>
    </row>
    <row r="47" spans="1:12" ht="15" customHeight="1" thickBot="1">
      <c r="A47" s="3785"/>
      <c r="B47" s="134" t="s">
        <v>63</v>
      </c>
      <c r="C47" s="35" t="s">
        <v>50</v>
      </c>
      <c r="D47" s="36"/>
      <c r="E47" s="80">
        <f>SUM(E50,E48)</f>
        <v>1526</v>
      </c>
      <c r="F47" s="80">
        <f>SUM(F50,F48)</f>
        <v>1526</v>
      </c>
      <c r="G47" s="81">
        <f>SUM(G50,G48)</f>
        <v>2211</v>
      </c>
      <c r="H47" s="39">
        <f t="shared" si="3"/>
        <v>1.4488859764089121</v>
      </c>
      <c r="I47" s="80">
        <f>SUM(I50,I48)</f>
        <v>0</v>
      </c>
      <c r="J47" s="80">
        <f>SUM(J50,J48)</f>
        <v>2211</v>
      </c>
      <c r="K47" s="82">
        <f t="shared" si="5"/>
        <v>1.4488859764089121</v>
      </c>
      <c r="L47" s="135"/>
    </row>
    <row r="48" spans="1:12">
      <c r="A48" s="3786"/>
      <c r="B48" s="3788" t="s">
        <v>25</v>
      </c>
      <c r="C48" s="3789"/>
      <c r="D48" s="169"/>
      <c r="E48" s="170">
        <f>SUM(E49:E49)</f>
        <v>1526</v>
      </c>
      <c r="F48" s="170">
        <f>SUM(F49:F49)</f>
        <v>1526</v>
      </c>
      <c r="G48" s="171">
        <f>SUM(G49:G49)</f>
        <v>2211</v>
      </c>
      <c r="H48" s="138">
        <f t="shared" si="3"/>
        <v>1.4488859764089121</v>
      </c>
      <c r="I48" s="170">
        <f>SUM(I49:I49)</f>
        <v>0</v>
      </c>
      <c r="J48" s="170">
        <f>SUM(J49:J49)</f>
        <v>2211</v>
      </c>
      <c r="K48" s="47">
        <f t="shared" si="5"/>
        <v>1.4488859764089121</v>
      </c>
      <c r="L48" s="139"/>
    </row>
    <row r="49" spans="1:12" ht="42.75" customHeight="1">
      <c r="A49" s="3786"/>
      <c r="B49" s="59"/>
      <c r="C49" s="172" t="s">
        <v>64</v>
      </c>
      <c r="D49" s="150">
        <v>2360</v>
      </c>
      <c r="E49" s="50">
        <v>1526</v>
      </c>
      <c r="F49" s="51">
        <v>1526</v>
      </c>
      <c r="G49" s="52">
        <v>2211</v>
      </c>
      <c r="H49" s="53">
        <f t="shared" si="3"/>
        <v>1.4488859764089121</v>
      </c>
      <c r="I49" s="98">
        <v>0</v>
      </c>
      <c r="J49" s="98">
        <f t="shared" ref="J49" si="26">SUM(G49,I49)</f>
        <v>2211</v>
      </c>
      <c r="K49" s="56">
        <f t="shared" si="5"/>
        <v>1.4488859764089121</v>
      </c>
      <c r="L49" s="145"/>
    </row>
    <row r="50" spans="1:12" ht="15.75" thickBot="1">
      <c r="A50" s="3787"/>
      <c r="B50" s="3766" t="s">
        <v>65</v>
      </c>
      <c r="C50" s="3784"/>
      <c r="D50" s="101"/>
      <c r="E50" s="122">
        <v>0</v>
      </c>
      <c r="F50" s="122">
        <v>0</v>
      </c>
      <c r="G50" s="103">
        <v>0</v>
      </c>
      <c r="H50" s="123"/>
      <c r="I50" s="1156">
        <v>0</v>
      </c>
      <c r="J50" s="1157">
        <v>0</v>
      </c>
      <c r="K50" s="104"/>
      <c r="L50" s="124"/>
    </row>
    <row r="51" spans="1:12" ht="15.75" hidden="1" thickBot="1">
      <c r="A51" s="154" t="s">
        <v>66</v>
      </c>
      <c r="B51" s="173"/>
      <c r="C51" s="174" t="s">
        <v>67</v>
      </c>
      <c r="D51" s="175"/>
      <c r="E51" s="176">
        <f>SUM(E52)</f>
        <v>0</v>
      </c>
      <c r="F51" s="176">
        <f>SUM(F52)</f>
        <v>79380</v>
      </c>
      <c r="G51" s="177">
        <f>SUM(G52)</f>
        <v>0</v>
      </c>
      <c r="H51" s="115"/>
      <c r="I51" s="177">
        <f>SUM(I52)</f>
        <v>0</v>
      </c>
      <c r="J51" s="178">
        <f>SUM(J52)</f>
        <v>0</v>
      </c>
      <c r="K51" s="31">
        <f t="shared" si="5"/>
        <v>0</v>
      </c>
      <c r="L51" s="168"/>
    </row>
    <row r="52" spans="1:12" ht="15.75" hidden="1" thickBot="1">
      <c r="A52" s="179"/>
      <c r="B52" s="180" t="s">
        <v>68</v>
      </c>
      <c r="C52" s="181" t="s">
        <v>69</v>
      </c>
      <c r="D52" s="182"/>
      <c r="E52" s="37">
        <f>SUM(E57,E53)</f>
        <v>0</v>
      </c>
      <c r="F52" s="37">
        <f>SUM(F57,F53)</f>
        <v>79380</v>
      </c>
      <c r="G52" s="38">
        <f>SUM(G57,G53)</f>
        <v>0</v>
      </c>
      <c r="H52" s="39"/>
      <c r="I52" s="37">
        <f>SUM(I57,I53)</f>
        <v>0</v>
      </c>
      <c r="J52" s="38">
        <f>SUM(J57,J53)</f>
        <v>0</v>
      </c>
      <c r="K52" s="82">
        <f t="shared" si="5"/>
        <v>0</v>
      </c>
      <c r="L52" s="135"/>
    </row>
    <row r="53" spans="1:12" ht="15.75" hidden="1" thickBot="1">
      <c r="A53" s="183"/>
      <c r="B53" s="3790" t="s">
        <v>98</v>
      </c>
      <c r="C53" s="3790"/>
      <c r="D53" s="184"/>
      <c r="E53" s="185">
        <f>SUM(E55:E56)</f>
        <v>0</v>
      </c>
      <c r="F53" s="185">
        <f t="shared" ref="F53:G53" si="27">SUM(F55:F56)</f>
        <v>15940</v>
      </c>
      <c r="G53" s="186">
        <f t="shared" si="27"/>
        <v>0</v>
      </c>
      <c r="H53" s="187"/>
      <c r="I53" s="185">
        <f>SUM(I55:I56)</f>
        <v>0</v>
      </c>
      <c r="J53" s="186">
        <f>SUM(J55:J56)</f>
        <v>0</v>
      </c>
      <c r="K53" s="47">
        <f t="shared" si="5"/>
        <v>0</v>
      </c>
      <c r="L53" s="139"/>
    </row>
    <row r="54" spans="1:12" ht="15" hidden="1" customHeight="1">
      <c r="A54" s="183"/>
      <c r="B54" s="3761"/>
      <c r="C54" s="188"/>
      <c r="D54" s="93"/>
      <c r="E54" s="189"/>
      <c r="F54" s="190"/>
      <c r="G54" s="52"/>
      <c r="H54" s="53"/>
      <c r="I54" s="98"/>
      <c r="J54" s="55"/>
      <c r="K54" s="56" t="e">
        <f t="shared" si="5"/>
        <v>#DIV/0!</v>
      </c>
      <c r="L54" s="142"/>
    </row>
    <row r="55" spans="1:12" ht="51.75" hidden="1" thickBot="1">
      <c r="A55" s="183"/>
      <c r="B55" s="3762"/>
      <c r="C55" s="191" t="s">
        <v>70</v>
      </c>
      <c r="D55" s="93">
        <v>2919</v>
      </c>
      <c r="E55" s="189">
        <v>0</v>
      </c>
      <c r="F55" s="190">
        <v>4269</v>
      </c>
      <c r="G55" s="52">
        <v>0</v>
      </c>
      <c r="H55" s="53"/>
      <c r="I55" s="98">
        <v>0</v>
      </c>
      <c r="J55" s="55">
        <f t="shared" ref="J55:J56" si="28">SUM(G55,I55)</f>
        <v>0</v>
      </c>
      <c r="K55" s="56">
        <f t="shared" si="5"/>
        <v>0</v>
      </c>
      <c r="L55" s="145"/>
    </row>
    <row r="56" spans="1:12" ht="54.95" hidden="1" customHeight="1" thickBot="1">
      <c r="A56" s="192"/>
      <c r="B56" s="3802"/>
      <c r="C56" s="193" t="s">
        <v>71</v>
      </c>
      <c r="D56" s="194">
        <v>2959</v>
      </c>
      <c r="E56" s="195">
        <v>0</v>
      </c>
      <c r="F56" s="196">
        <v>11671</v>
      </c>
      <c r="G56" s="197">
        <v>0</v>
      </c>
      <c r="H56" s="198"/>
      <c r="I56" s="199">
        <v>0</v>
      </c>
      <c r="J56" s="200">
        <f t="shared" si="28"/>
        <v>0</v>
      </c>
      <c r="K56" s="201">
        <f t="shared" si="5"/>
        <v>0</v>
      </c>
      <c r="L56" s="145"/>
    </row>
    <row r="57" spans="1:12" ht="15.75" hidden="1" thickBot="1">
      <c r="A57" s="179"/>
      <c r="B57" s="3803" t="s">
        <v>30</v>
      </c>
      <c r="C57" s="3804"/>
      <c r="D57" s="83"/>
      <c r="E57" s="202">
        <f>SUM(E58:E59)</f>
        <v>0</v>
      </c>
      <c r="F57" s="202">
        <f t="shared" ref="F57:G57" si="29">SUM(F58:F59)</f>
        <v>63440</v>
      </c>
      <c r="G57" s="203">
        <f t="shared" si="29"/>
        <v>0</v>
      </c>
      <c r="H57" s="187"/>
      <c r="I57" s="202">
        <f>SUM(I58:I59)</f>
        <v>0</v>
      </c>
      <c r="J57" s="203">
        <f>SUM(J58:J59)</f>
        <v>0</v>
      </c>
      <c r="K57" s="204">
        <f t="shared" si="5"/>
        <v>0</v>
      </c>
      <c r="L57" s="139"/>
    </row>
    <row r="58" spans="1:12" ht="64.5" hidden="1" thickBot="1">
      <c r="A58" s="183"/>
      <c r="B58" s="1184"/>
      <c r="C58" s="205" t="s">
        <v>73</v>
      </c>
      <c r="D58" s="3805">
        <v>6669</v>
      </c>
      <c r="E58" s="207">
        <v>0</v>
      </c>
      <c r="F58" s="208">
        <v>1146</v>
      </c>
      <c r="G58" s="209">
        <v>0</v>
      </c>
      <c r="H58" s="53"/>
      <c r="I58" s="98">
        <v>0</v>
      </c>
      <c r="J58" s="55">
        <f t="shared" ref="J58:J59" si="30">SUM(G58,I58)</f>
        <v>0</v>
      </c>
      <c r="K58" s="56">
        <f t="shared" si="5"/>
        <v>0</v>
      </c>
      <c r="L58" s="145"/>
    </row>
    <row r="59" spans="1:12" ht="64.5" hidden="1" thickBot="1">
      <c r="A59" s="192"/>
      <c r="B59" s="210"/>
      <c r="C59" s="211" t="s">
        <v>74</v>
      </c>
      <c r="D59" s="3806"/>
      <c r="E59" s="195">
        <v>0</v>
      </c>
      <c r="F59" s="196">
        <v>62294</v>
      </c>
      <c r="G59" s="197">
        <v>0</v>
      </c>
      <c r="H59" s="198"/>
      <c r="I59" s="199">
        <v>0</v>
      </c>
      <c r="J59" s="200">
        <f t="shared" si="30"/>
        <v>0</v>
      </c>
      <c r="K59" s="201">
        <f t="shared" si="5"/>
        <v>0</v>
      </c>
      <c r="L59" s="212"/>
    </row>
    <row r="60" spans="1:12" ht="16.5" hidden="1" customHeight="1" thickBot="1">
      <c r="A60" s="42"/>
      <c r="B60" s="213" t="s">
        <v>75</v>
      </c>
      <c r="C60" s="214" t="s">
        <v>76</v>
      </c>
      <c r="D60" s="214"/>
      <c r="E60" s="215"/>
      <c r="F60" s="216"/>
      <c r="G60" s="217"/>
      <c r="H60" s="115" t="e">
        <f t="shared" si="3"/>
        <v>#DIV/0!</v>
      </c>
      <c r="I60" s="131"/>
      <c r="J60" s="132"/>
      <c r="K60" s="218" t="e">
        <f t="shared" si="5"/>
        <v>#DIV/0!</v>
      </c>
      <c r="L60" s="219"/>
    </row>
    <row r="61" spans="1:12" ht="16.5" hidden="1" customHeight="1" thickBot="1">
      <c r="A61" s="42"/>
      <c r="B61" s="3807" t="s">
        <v>25</v>
      </c>
      <c r="C61" s="3807"/>
      <c r="D61" s="220"/>
      <c r="E61" s="221"/>
      <c r="F61" s="222"/>
      <c r="G61" s="223"/>
      <c r="H61" s="30" t="e">
        <f t="shared" si="3"/>
        <v>#DIV/0!</v>
      </c>
      <c r="I61" s="131"/>
      <c r="J61" s="132"/>
      <c r="K61" s="56" t="e">
        <f t="shared" si="5"/>
        <v>#DIV/0!</v>
      </c>
      <c r="L61" s="91"/>
    </row>
    <row r="62" spans="1:12" ht="51.75" hidden="1" thickBot="1">
      <c r="A62" s="42"/>
      <c r="B62" s="224"/>
      <c r="C62" s="225" t="s">
        <v>77</v>
      </c>
      <c r="D62" s="226" t="s">
        <v>78</v>
      </c>
      <c r="E62" s="114"/>
      <c r="F62" s="227"/>
      <c r="G62" s="76"/>
      <c r="H62" s="30" t="e">
        <f t="shared" si="3"/>
        <v>#DIV/0!</v>
      </c>
      <c r="I62" s="131"/>
      <c r="J62" s="132"/>
      <c r="K62" s="56" t="e">
        <f t="shared" si="5"/>
        <v>#DIV/0!</v>
      </c>
      <c r="L62" s="91"/>
    </row>
    <row r="63" spans="1:12" ht="51" hidden="1" customHeight="1" thickBot="1">
      <c r="A63" s="42"/>
      <c r="B63" s="228"/>
      <c r="C63" s="225" t="s">
        <v>79</v>
      </c>
      <c r="D63" s="226">
        <v>2919</v>
      </c>
      <c r="E63" s="114">
        <v>0</v>
      </c>
      <c r="F63" s="227">
        <v>0</v>
      </c>
      <c r="G63" s="76"/>
      <c r="H63" s="30" t="e">
        <f t="shared" si="3"/>
        <v>#DIV/0!</v>
      </c>
      <c r="I63" s="131"/>
      <c r="J63" s="132"/>
      <c r="K63" s="56" t="e">
        <f t="shared" si="5"/>
        <v>#DIV/0!</v>
      </c>
      <c r="L63" s="91"/>
    </row>
    <row r="64" spans="1:12" ht="0.75" hidden="1" customHeight="1" thickBot="1">
      <c r="A64" s="42"/>
      <c r="B64" s="228"/>
      <c r="C64" s="225" t="s">
        <v>80</v>
      </c>
      <c r="D64" s="226">
        <v>2957</v>
      </c>
      <c r="E64" s="114"/>
      <c r="F64" s="227">
        <v>0</v>
      </c>
      <c r="G64" s="76"/>
      <c r="H64" s="30" t="e">
        <f t="shared" si="3"/>
        <v>#DIV/0!</v>
      </c>
      <c r="I64" s="131"/>
      <c r="J64" s="132"/>
      <c r="K64" s="56" t="e">
        <f t="shared" si="5"/>
        <v>#DIV/0!</v>
      </c>
      <c r="L64" s="91"/>
    </row>
    <row r="65" spans="1:14" ht="63.75" hidden="1" customHeight="1" thickBot="1">
      <c r="A65" s="42"/>
      <c r="B65" s="229"/>
      <c r="C65" s="120" t="s">
        <v>81</v>
      </c>
      <c r="D65" s="226">
        <v>6660</v>
      </c>
      <c r="E65" s="114"/>
      <c r="F65" s="227"/>
      <c r="G65" s="76"/>
      <c r="H65" s="30" t="e">
        <f t="shared" si="3"/>
        <v>#DIV/0!</v>
      </c>
      <c r="I65" s="131"/>
      <c r="J65" s="132"/>
      <c r="K65" s="56" t="e">
        <f t="shared" si="5"/>
        <v>#DIV/0!</v>
      </c>
      <c r="L65" s="91"/>
    </row>
    <row r="66" spans="1:14" ht="9" hidden="1" customHeight="1" thickBot="1">
      <c r="A66" s="42"/>
      <c r="B66" s="3808" t="s">
        <v>72</v>
      </c>
      <c r="C66" s="3809"/>
      <c r="D66" s="230"/>
      <c r="E66" s="231">
        <v>0</v>
      </c>
      <c r="F66" s="232">
        <v>0</v>
      </c>
      <c r="G66" s="233">
        <v>0</v>
      </c>
      <c r="H66" s="30" t="e">
        <f t="shared" si="3"/>
        <v>#DIV/0!</v>
      </c>
      <c r="I66" s="131"/>
      <c r="J66" s="132"/>
      <c r="K66" s="78" t="e">
        <f t="shared" si="5"/>
        <v>#DIV/0!</v>
      </c>
      <c r="L66" s="79"/>
    </row>
    <row r="67" spans="1:14" ht="15.75" customHeight="1" thickBot="1">
      <c r="A67" s="234">
        <v>600</v>
      </c>
      <c r="B67" s="235"/>
      <c r="C67" s="236" t="s">
        <v>82</v>
      </c>
      <c r="D67" s="236"/>
      <c r="E67" s="166">
        <f>SUM(E68,E81,E89,E97,E102,E123,)</f>
        <v>233868343</v>
      </c>
      <c r="F67" s="166">
        <f>SUM(F68,F81,F89,F97,F102,F123,)</f>
        <v>265049559</v>
      </c>
      <c r="G67" s="166">
        <f>SUM(G68,G81,G89,G97,G102,G123,)</f>
        <v>261288725</v>
      </c>
      <c r="H67" s="30">
        <f t="shared" si="3"/>
        <v>1.1172470871784472</v>
      </c>
      <c r="I67" s="166">
        <f>SUM(I68,I81,I89,I97,I102,I123,)</f>
        <v>-119579</v>
      </c>
      <c r="J67" s="166">
        <f>SUM(J68,J81,J89,J97,J102,J123,)</f>
        <v>261169146</v>
      </c>
      <c r="K67" s="237">
        <f t="shared" si="5"/>
        <v>0.98535967003816072</v>
      </c>
      <c r="L67" s="32"/>
    </row>
    <row r="68" spans="1:14" ht="15" customHeight="1" thickBot="1">
      <c r="A68" s="238"/>
      <c r="B68" s="239">
        <v>60001</v>
      </c>
      <c r="C68" s="35" t="s">
        <v>83</v>
      </c>
      <c r="D68" s="36"/>
      <c r="E68" s="159">
        <f>SUM(E69,E78)</f>
        <v>32444879</v>
      </c>
      <c r="F68" s="159">
        <f>SUM(F69,F78)</f>
        <v>33021053</v>
      </c>
      <c r="G68" s="160">
        <f>SUM(G69,G78)</f>
        <v>32757354</v>
      </c>
      <c r="H68" s="39">
        <f t="shared" si="3"/>
        <v>1.0096309497717653</v>
      </c>
      <c r="I68" s="159">
        <f>SUM(I69,I78)</f>
        <v>0</v>
      </c>
      <c r="J68" s="159">
        <f>SUM(J69,J78)</f>
        <v>32757354</v>
      </c>
      <c r="K68" s="82">
        <f t="shared" si="5"/>
        <v>0.9920142159003833</v>
      </c>
      <c r="L68" s="135"/>
    </row>
    <row r="69" spans="1:14">
      <c r="A69" s="240"/>
      <c r="B69" s="3777" t="s">
        <v>25</v>
      </c>
      <c r="C69" s="3760"/>
      <c r="D69" s="83"/>
      <c r="E69" s="84">
        <f>SUM(E70:E75)</f>
        <v>29444879</v>
      </c>
      <c r="F69" s="84">
        <f>SUM(F70:F75)</f>
        <v>30021053</v>
      </c>
      <c r="G69" s="85">
        <f>SUM(G70:G75)</f>
        <v>31257354</v>
      </c>
      <c r="H69" s="138">
        <f t="shared" si="3"/>
        <v>1.0615548462603632</v>
      </c>
      <c r="I69" s="84">
        <f>SUM(I70:I75)</f>
        <v>0</v>
      </c>
      <c r="J69" s="84">
        <f>SUM(J70:J75)</f>
        <v>31257354</v>
      </c>
      <c r="K69" s="47">
        <f t="shared" si="5"/>
        <v>1.0411811337863466</v>
      </c>
      <c r="L69" s="139"/>
    </row>
    <row r="70" spans="1:14">
      <c r="A70" s="240"/>
      <c r="B70" s="241"/>
      <c r="C70" s="242" t="s">
        <v>84</v>
      </c>
      <c r="D70" s="243" t="s">
        <v>27</v>
      </c>
      <c r="E70" s="50">
        <v>21478029</v>
      </c>
      <c r="F70" s="51">
        <v>21478029</v>
      </c>
      <c r="G70" s="52">
        <v>21478029</v>
      </c>
      <c r="H70" s="53">
        <f t="shared" si="3"/>
        <v>1</v>
      </c>
      <c r="I70" s="98">
        <v>0</v>
      </c>
      <c r="J70" s="98">
        <f t="shared" ref="J70" si="31">SUM(G70,I70)</f>
        <v>21478029</v>
      </c>
      <c r="K70" s="56">
        <f t="shared" si="5"/>
        <v>1</v>
      </c>
      <c r="L70" s="145"/>
    </row>
    <row r="71" spans="1:14" hidden="1">
      <c r="A71" s="240"/>
      <c r="B71" s="241"/>
      <c r="C71" s="3796" t="s">
        <v>85</v>
      </c>
      <c r="D71" s="243" t="s">
        <v>45</v>
      </c>
      <c r="E71" s="50">
        <v>0</v>
      </c>
      <c r="F71" s="51">
        <v>0</v>
      </c>
      <c r="G71" s="52">
        <v>0</v>
      </c>
      <c r="H71" s="53" t="e">
        <f t="shared" si="3"/>
        <v>#DIV/0!</v>
      </c>
      <c r="I71" s="98"/>
      <c r="J71" s="98"/>
      <c r="K71" s="56" t="e">
        <f t="shared" si="5"/>
        <v>#DIV/0!</v>
      </c>
      <c r="L71" s="145"/>
    </row>
    <row r="72" spans="1:14" ht="64.5" hidden="1" customHeight="1">
      <c r="A72" s="240"/>
      <c r="B72" s="241"/>
      <c r="C72" s="3797"/>
      <c r="D72" s="243" t="s">
        <v>36</v>
      </c>
      <c r="E72" s="244">
        <v>0</v>
      </c>
      <c r="F72" s="51">
        <v>0</v>
      </c>
      <c r="G72" s="52">
        <v>0</v>
      </c>
      <c r="H72" s="53" t="e">
        <f t="shared" si="3"/>
        <v>#DIV/0!</v>
      </c>
      <c r="I72" s="98"/>
      <c r="J72" s="98"/>
      <c r="K72" s="56" t="e">
        <f t="shared" si="5"/>
        <v>#DIV/0!</v>
      </c>
      <c r="L72" s="145"/>
    </row>
    <row r="73" spans="1:14" ht="40.5" customHeight="1">
      <c r="A73" s="240"/>
      <c r="B73" s="241"/>
      <c r="C73" s="245" t="s">
        <v>86</v>
      </c>
      <c r="D73" s="248" t="s">
        <v>87</v>
      </c>
      <c r="E73" s="244">
        <v>3875000</v>
      </c>
      <c r="F73" s="51">
        <v>3875000</v>
      </c>
      <c r="G73" s="52">
        <v>5375000</v>
      </c>
      <c r="H73" s="53">
        <f t="shared" si="3"/>
        <v>1.3870967741935485</v>
      </c>
      <c r="I73" s="98">
        <v>0</v>
      </c>
      <c r="J73" s="98">
        <f t="shared" ref="J73:J75" si="32">SUM(G73,I73)</f>
        <v>5375000</v>
      </c>
      <c r="K73" s="56">
        <f t="shared" si="5"/>
        <v>1.3870967741935485</v>
      </c>
      <c r="L73" s="145"/>
      <c r="N73" s="246"/>
    </row>
    <row r="74" spans="1:14" ht="42" hidden="1" customHeight="1">
      <c r="A74" s="240"/>
      <c r="B74" s="241"/>
      <c r="C74" s="247" t="s">
        <v>88</v>
      </c>
      <c r="D74" s="248" t="s">
        <v>89</v>
      </c>
      <c r="E74" s="50">
        <v>0</v>
      </c>
      <c r="F74" s="51">
        <v>63699</v>
      </c>
      <c r="G74" s="52">
        <v>0</v>
      </c>
      <c r="H74" s="53"/>
      <c r="I74" s="98">
        <v>0</v>
      </c>
      <c r="J74" s="98">
        <f t="shared" si="32"/>
        <v>0</v>
      </c>
      <c r="K74" s="56">
        <f t="shared" ref="K74:K137" si="33">J74/F74</f>
        <v>0</v>
      </c>
      <c r="L74" s="145"/>
    </row>
    <row r="75" spans="1:14" ht="39" customHeight="1" thickBot="1">
      <c r="A75" s="240"/>
      <c r="B75" s="59"/>
      <c r="C75" s="245" t="s">
        <v>90</v>
      </c>
      <c r="D75" s="58" t="s">
        <v>91</v>
      </c>
      <c r="E75" s="244">
        <v>4091850</v>
      </c>
      <c r="F75" s="249">
        <v>4604325</v>
      </c>
      <c r="G75" s="250">
        <v>4404325</v>
      </c>
      <c r="H75" s="53">
        <f t="shared" ref="H75:H138" si="34">G75/E75</f>
        <v>1.0763652137786086</v>
      </c>
      <c r="I75" s="61">
        <v>0</v>
      </c>
      <c r="J75" s="98">
        <f t="shared" si="32"/>
        <v>4404325</v>
      </c>
      <c r="K75" s="201">
        <f t="shared" si="33"/>
        <v>0.95656257974838876</v>
      </c>
      <c r="L75" s="96"/>
    </row>
    <row r="76" spans="1:14" ht="42" hidden="1" customHeight="1">
      <c r="A76" s="240"/>
      <c r="B76" s="251"/>
      <c r="C76" s="1182" t="s">
        <v>92</v>
      </c>
      <c r="D76" s="406" t="s">
        <v>93</v>
      </c>
      <c r="E76" s="264">
        <v>0</v>
      </c>
      <c r="F76" s="249"/>
      <c r="G76" s="250"/>
      <c r="H76" s="442" t="e">
        <f t="shared" si="34"/>
        <v>#DIV/0!</v>
      </c>
      <c r="I76" s="61"/>
      <c r="J76" s="61"/>
      <c r="K76" s="218" t="e">
        <f t="shared" si="33"/>
        <v>#DIV/0!</v>
      </c>
      <c r="L76" s="142"/>
    </row>
    <row r="77" spans="1:14" ht="54" hidden="1" customHeight="1">
      <c r="A77" s="240"/>
      <c r="B77" s="241"/>
      <c r="C77" s="1185" t="s">
        <v>94</v>
      </c>
      <c r="D77" s="60" t="s">
        <v>93</v>
      </c>
      <c r="E77" s="90"/>
      <c r="F77" s="400"/>
      <c r="G77" s="151"/>
      <c r="H77" s="450" t="e">
        <f t="shared" si="34"/>
        <v>#DIV/0!</v>
      </c>
      <c r="I77" s="266"/>
      <c r="J77" s="266"/>
      <c r="K77" s="78" t="e">
        <f t="shared" si="33"/>
        <v>#DIV/0!</v>
      </c>
      <c r="L77" s="142"/>
    </row>
    <row r="78" spans="1:14">
      <c r="A78" s="240"/>
      <c r="B78" s="3757" t="s">
        <v>72</v>
      </c>
      <c r="C78" s="3758"/>
      <c r="D78" s="255"/>
      <c r="E78" s="256">
        <f>SUM(E80)</f>
        <v>3000000</v>
      </c>
      <c r="F78" s="256">
        <f>SUM(F80)</f>
        <v>3000000</v>
      </c>
      <c r="G78" s="257">
        <f>SUM(G80)</f>
        <v>1500000</v>
      </c>
      <c r="H78" s="258">
        <f t="shared" si="34"/>
        <v>0.5</v>
      </c>
      <c r="I78" s="256">
        <f>SUM(I80)</f>
        <v>0</v>
      </c>
      <c r="J78" s="256">
        <f>SUM(J80)</f>
        <v>1500000</v>
      </c>
      <c r="K78" s="204">
        <f t="shared" si="33"/>
        <v>0.5</v>
      </c>
      <c r="L78" s="260"/>
    </row>
    <row r="79" spans="1:14" ht="10.5" hidden="1" customHeight="1">
      <c r="A79" s="240"/>
      <c r="B79" s="261"/>
      <c r="C79" s="262" t="s">
        <v>95</v>
      </c>
      <c r="D79" s="263">
        <v>6257</v>
      </c>
      <c r="E79" s="264"/>
      <c r="F79" s="51"/>
      <c r="G79" s="52"/>
      <c r="H79" s="53" t="e">
        <f t="shared" si="34"/>
        <v>#DIV/0!</v>
      </c>
      <c r="I79" s="98"/>
      <c r="J79" s="98"/>
      <c r="K79" s="56" t="e">
        <f t="shared" si="33"/>
        <v>#DIV/0!</v>
      </c>
      <c r="L79" s="142"/>
    </row>
    <row r="80" spans="1:14" ht="55.5" customHeight="1" thickBot="1">
      <c r="A80" s="240"/>
      <c r="B80" s="265"/>
      <c r="C80" s="161" t="s">
        <v>96</v>
      </c>
      <c r="D80" s="263">
        <v>6350</v>
      </c>
      <c r="E80" s="50">
        <v>3000000</v>
      </c>
      <c r="F80" s="51">
        <v>3000000</v>
      </c>
      <c r="G80" s="151">
        <v>1500000</v>
      </c>
      <c r="H80" s="198">
        <f t="shared" si="34"/>
        <v>0.5</v>
      </c>
      <c r="I80" s="266">
        <v>0</v>
      </c>
      <c r="J80" s="98">
        <f t="shared" ref="J80" si="35">SUM(G80,I80)</f>
        <v>1500000</v>
      </c>
      <c r="K80" s="78">
        <f t="shared" si="33"/>
        <v>0.5</v>
      </c>
      <c r="L80" s="94"/>
    </row>
    <row r="81" spans="1:12" ht="17.25" customHeight="1" thickBot="1">
      <c r="A81" s="240"/>
      <c r="B81" s="239">
        <v>60002</v>
      </c>
      <c r="C81" s="35" t="s">
        <v>97</v>
      </c>
      <c r="D81" s="36"/>
      <c r="E81" s="80">
        <f>SUM(E82,E84)</f>
        <v>22286635</v>
      </c>
      <c r="F81" s="80">
        <f>SUM(F82,F84)</f>
        <v>90407784</v>
      </c>
      <c r="G81" s="81">
        <f>SUM(G82,G84)</f>
        <v>23715021</v>
      </c>
      <c r="H81" s="267">
        <f t="shared" si="34"/>
        <v>1.0640915957029853</v>
      </c>
      <c r="I81" s="80">
        <f>SUM(I82,I84)</f>
        <v>0</v>
      </c>
      <c r="J81" s="80">
        <f>SUM(J82,J84)</f>
        <v>23715021</v>
      </c>
      <c r="K81" s="82">
        <f t="shared" si="33"/>
        <v>0.26231171643362033</v>
      </c>
      <c r="L81" s="41"/>
    </row>
    <row r="82" spans="1:12">
      <c r="A82" s="240"/>
      <c r="B82" s="3759" t="s">
        <v>98</v>
      </c>
      <c r="C82" s="3798"/>
      <c r="D82" s="83"/>
      <c r="E82" s="84">
        <f t="shared" ref="E82:J82" si="36">SUM(E83)</f>
        <v>0</v>
      </c>
      <c r="F82" s="84">
        <f t="shared" si="36"/>
        <v>0</v>
      </c>
      <c r="G82" s="85">
        <f t="shared" si="36"/>
        <v>0</v>
      </c>
      <c r="H82" s="187"/>
      <c r="I82" s="84">
        <f t="shared" si="36"/>
        <v>0</v>
      </c>
      <c r="J82" s="84">
        <f t="shared" si="36"/>
        <v>0</v>
      </c>
      <c r="K82" s="47"/>
      <c r="L82" s="48"/>
    </row>
    <row r="83" spans="1:12" ht="42" hidden="1" customHeight="1">
      <c r="A83" s="240"/>
      <c r="B83" s="57"/>
      <c r="C83" s="149" t="s">
        <v>90</v>
      </c>
      <c r="D83" s="268" t="s">
        <v>91</v>
      </c>
      <c r="E83" s="51"/>
      <c r="F83" s="51"/>
      <c r="G83" s="52"/>
      <c r="H83" s="269" t="e">
        <f t="shared" si="34"/>
        <v>#DIV/0!</v>
      </c>
      <c r="I83" s="51"/>
      <c r="J83" s="51"/>
      <c r="K83" s="259" t="e">
        <f t="shared" si="33"/>
        <v>#DIV/0!</v>
      </c>
      <c r="L83" s="70"/>
    </row>
    <row r="84" spans="1:12">
      <c r="A84" s="240"/>
      <c r="B84" s="3757" t="s">
        <v>72</v>
      </c>
      <c r="C84" s="3799"/>
      <c r="D84" s="255"/>
      <c r="E84" s="64">
        <f>SUM(E86:E88)</f>
        <v>22286635</v>
      </c>
      <c r="F84" s="64">
        <f>SUM(F86:F88)</f>
        <v>90407784</v>
      </c>
      <c r="G84" s="137">
        <f>SUM(G86:G88)</f>
        <v>23715021</v>
      </c>
      <c r="H84" s="258">
        <f t="shared" si="34"/>
        <v>1.0640915957029853</v>
      </c>
      <c r="I84" s="64">
        <f>SUM(I86:I88)</f>
        <v>0</v>
      </c>
      <c r="J84" s="64">
        <f>SUM(J86:J88)</f>
        <v>23715021</v>
      </c>
      <c r="K84" s="259">
        <f t="shared" si="33"/>
        <v>0.26231171643362033</v>
      </c>
      <c r="L84" s="70"/>
    </row>
    <row r="85" spans="1:12" ht="63.75" hidden="1" customHeight="1">
      <c r="A85" s="240"/>
      <c r="B85" s="270"/>
      <c r="C85" s="271" t="s">
        <v>99</v>
      </c>
      <c r="D85" s="272">
        <v>6207</v>
      </c>
      <c r="E85" s="50">
        <v>0</v>
      </c>
      <c r="F85" s="51"/>
      <c r="G85" s="52"/>
      <c r="H85" s="53" t="e">
        <f t="shared" si="34"/>
        <v>#DIV/0!</v>
      </c>
      <c r="I85" s="98"/>
      <c r="J85" s="98"/>
      <c r="K85" s="56" t="e">
        <f t="shared" si="33"/>
        <v>#DIV/0!</v>
      </c>
      <c r="L85" s="91"/>
    </row>
    <row r="86" spans="1:12" ht="70.5" hidden="1" customHeight="1">
      <c r="A86" s="240"/>
      <c r="B86" s="273"/>
      <c r="C86" s="271" t="s">
        <v>100</v>
      </c>
      <c r="D86" s="272">
        <v>6207</v>
      </c>
      <c r="E86" s="50">
        <v>0</v>
      </c>
      <c r="F86" s="51">
        <v>61913039</v>
      </c>
      <c r="G86" s="52">
        <v>0</v>
      </c>
      <c r="H86" s="53"/>
      <c r="I86" s="98">
        <v>0</v>
      </c>
      <c r="J86" s="98">
        <f t="shared" ref="J86:J88" si="37">SUM(G86,I86)</f>
        <v>0</v>
      </c>
      <c r="K86" s="56">
        <f t="shared" si="33"/>
        <v>0</v>
      </c>
      <c r="L86" s="99"/>
    </row>
    <row r="87" spans="1:12" ht="53.25" customHeight="1">
      <c r="A87" s="240"/>
      <c r="B87" s="273"/>
      <c r="C87" s="274" t="s">
        <v>101</v>
      </c>
      <c r="D87" s="275">
        <v>6257</v>
      </c>
      <c r="E87" s="244">
        <v>22286635</v>
      </c>
      <c r="F87" s="249">
        <v>22286635</v>
      </c>
      <c r="G87" s="250">
        <v>22920771</v>
      </c>
      <c r="H87" s="53">
        <f t="shared" si="34"/>
        <v>1.0284536449760135</v>
      </c>
      <c r="I87" s="61">
        <v>0</v>
      </c>
      <c r="J87" s="98">
        <f t="shared" si="37"/>
        <v>22920771</v>
      </c>
      <c r="K87" s="56">
        <f t="shared" si="33"/>
        <v>1.0284536449760135</v>
      </c>
      <c r="L87" s="276"/>
    </row>
    <row r="88" spans="1:12" ht="54" customHeight="1" thickBot="1">
      <c r="A88" s="240"/>
      <c r="B88" s="277"/>
      <c r="C88" s="278" t="s">
        <v>102</v>
      </c>
      <c r="D88" s="279">
        <v>6300</v>
      </c>
      <c r="E88" s="90">
        <v>0</v>
      </c>
      <c r="F88" s="51">
        <v>6208110</v>
      </c>
      <c r="G88" s="151">
        <v>794250</v>
      </c>
      <c r="H88" s="198"/>
      <c r="I88" s="266">
        <v>0</v>
      </c>
      <c r="J88" s="98">
        <f t="shared" si="37"/>
        <v>794250</v>
      </c>
      <c r="K88" s="78">
        <f t="shared" si="33"/>
        <v>0.12793748822105278</v>
      </c>
      <c r="L88" s="280"/>
    </row>
    <row r="89" spans="1:12" ht="18.75" customHeight="1" thickBot="1">
      <c r="A89" s="240"/>
      <c r="B89" s="239">
        <v>60003</v>
      </c>
      <c r="C89" s="35" t="s">
        <v>103</v>
      </c>
      <c r="D89" s="36"/>
      <c r="E89" s="159">
        <f t="shared" ref="E89:G89" si="38">SUM(E90,E96)</f>
        <v>51873000</v>
      </c>
      <c r="F89" s="159">
        <f t="shared" si="38"/>
        <v>51873000</v>
      </c>
      <c r="G89" s="160">
        <f t="shared" si="38"/>
        <v>51873000</v>
      </c>
      <c r="H89" s="267">
        <f t="shared" si="34"/>
        <v>1</v>
      </c>
      <c r="I89" s="159">
        <f t="shared" ref="I89:J89" si="39">SUM(I90,I96)</f>
        <v>-269000</v>
      </c>
      <c r="J89" s="159">
        <f t="shared" si="39"/>
        <v>51604000</v>
      </c>
      <c r="K89" s="82">
        <f t="shared" si="33"/>
        <v>0.99481425789909972</v>
      </c>
      <c r="L89" s="41"/>
    </row>
    <row r="90" spans="1:12" ht="15" customHeight="1">
      <c r="A90" s="240"/>
      <c r="B90" s="3777" t="s">
        <v>25</v>
      </c>
      <c r="C90" s="3760"/>
      <c r="D90" s="83"/>
      <c r="E90" s="84">
        <f>SUM(E91:E95)</f>
        <v>51873000</v>
      </c>
      <c r="F90" s="84">
        <f>SUM(F91:F95)</f>
        <v>51873000</v>
      </c>
      <c r="G90" s="85">
        <f>SUM(G91:G95)</f>
        <v>51873000</v>
      </c>
      <c r="H90" s="138">
        <f t="shared" si="34"/>
        <v>1</v>
      </c>
      <c r="I90" s="84">
        <f>SUM(I91:I95)</f>
        <v>-269000</v>
      </c>
      <c r="J90" s="84">
        <f>SUM(J91:J95)</f>
        <v>51604000</v>
      </c>
      <c r="K90" s="47">
        <f t="shared" si="33"/>
        <v>0.99481425789909972</v>
      </c>
      <c r="L90" s="48"/>
    </row>
    <row r="91" spans="1:12" ht="27" hidden="1" customHeight="1">
      <c r="A91" s="240"/>
      <c r="B91" s="281"/>
      <c r="C91" s="282" t="s">
        <v>104</v>
      </c>
      <c r="D91" s="58" t="s">
        <v>105</v>
      </c>
      <c r="E91" s="50">
        <v>0</v>
      </c>
      <c r="F91" s="51">
        <v>0</v>
      </c>
      <c r="G91" s="52"/>
      <c r="H91" s="283" t="e">
        <f t="shared" si="34"/>
        <v>#DIV/0!</v>
      </c>
      <c r="I91" s="284"/>
      <c r="J91" s="284"/>
      <c r="K91" s="56" t="e">
        <f t="shared" si="33"/>
        <v>#DIV/0!</v>
      </c>
      <c r="L91" s="91"/>
    </row>
    <row r="92" spans="1:12" ht="51" hidden="1" customHeight="1">
      <c r="A92" s="240"/>
      <c r="B92" s="285"/>
      <c r="C92" s="205" t="s">
        <v>106</v>
      </c>
      <c r="D92" s="58" t="s">
        <v>78</v>
      </c>
      <c r="E92" s="50">
        <v>0</v>
      </c>
      <c r="F92" s="51">
        <v>0</v>
      </c>
      <c r="G92" s="52"/>
      <c r="H92" s="283" t="e">
        <f t="shared" si="34"/>
        <v>#DIV/0!</v>
      </c>
      <c r="I92" s="284"/>
      <c r="J92" s="284"/>
      <c r="K92" s="56" t="e">
        <f t="shared" si="33"/>
        <v>#DIV/0!</v>
      </c>
      <c r="L92" s="91"/>
    </row>
    <row r="93" spans="1:12" ht="41.25" customHeight="1">
      <c r="A93" s="240"/>
      <c r="B93" s="3800"/>
      <c r="C93" s="282" t="s">
        <v>53</v>
      </c>
      <c r="D93" s="58">
        <v>2210</v>
      </c>
      <c r="E93" s="50">
        <v>51873000</v>
      </c>
      <c r="F93" s="51">
        <v>51873000</v>
      </c>
      <c r="G93" s="52">
        <v>51873000</v>
      </c>
      <c r="H93" s="53">
        <f t="shared" si="34"/>
        <v>1</v>
      </c>
      <c r="I93" s="98">
        <v>-269000</v>
      </c>
      <c r="J93" s="98">
        <f t="shared" ref="J93" si="40">SUM(G93,I93)</f>
        <v>51604000</v>
      </c>
      <c r="K93" s="56">
        <f t="shared" si="33"/>
        <v>0.99481425789909972</v>
      </c>
      <c r="L93" s="145"/>
    </row>
    <row r="94" spans="1:12" ht="27" hidden="1" customHeight="1">
      <c r="A94" s="240"/>
      <c r="B94" s="3800"/>
      <c r="C94" s="111" t="s">
        <v>107</v>
      </c>
      <c r="D94" s="49" t="s">
        <v>47</v>
      </c>
      <c r="E94" s="50">
        <v>0</v>
      </c>
      <c r="F94" s="51">
        <v>0</v>
      </c>
      <c r="G94" s="52"/>
      <c r="H94" s="283" t="e">
        <f t="shared" si="34"/>
        <v>#DIV/0!</v>
      </c>
      <c r="I94" s="284"/>
      <c r="J94" s="284"/>
      <c r="K94" s="56" t="e">
        <f t="shared" si="33"/>
        <v>#DIV/0!</v>
      </c>
      <c r="L94" s="91"/>
    </row>
    <row r="95" spans="1:12" ht="29.25" hidden="1" customHeight="1">
      <c r="A95" s="240"/>
      <c r="B95" s="3801"/>
      <c r="C95" s="111" t="s">
        <v>108</v>
      </c>
      <c r="D95" s="49" t="s">
        <v>93</v>
      </c>
      <c r="E95" s="50"/>
      <c r="F95" s="51"/>
      <c r="G95" s="52"/>
      <c r="H95" s="283" t="e">
        <f t="shared" si="34"/>
        <v>#DIV/0!</v>
      </c>
      <c r="I95" s="284"/>
      <c r="J95" s="284"/>
      <c r="K95" s="56" t="e">
        <f t="shared" si="33"/>
        <v>#DIV/0!</v>
      </c>
      <c r="L95" s="91"/>
    </row>
    <row r="96" spans="1:12" ht="15.75" thickBot="1">
      <c r="A96" s="240"/>
      <c r="B96" s="3819" t="s">
        <v>30</v>
      </c>
      <c r="C96" s="3820"/>
      <c r="D96" s="163"/>
      <c r="E96" s="102">
        <v>0</v>
      </c>
      <c r="F96" s="102">
        <v>0</v>
      </c>
      <c r="G96" s="103">
        <v>0</v>
      </c>
      <c r="H96" s="123"/>
      <c r="I96" s="286">
        <v>0</v>
      </c>
      <c r="J96" s="388">
        <v>0</v>
      </c>
      <c r="K96" s="287"/>
      <c r="L96" s="288"/>
    </row>
    <row r="97" spans="1:12" ht="15.75" thickBot="1">
      <c r="A97" s="240"/>
      <c r="B97" s="289">
        <v>60004</v>
      </c>
      <c r="C97" s="290" t="s">
        <v>109</v>
      </c>
      <c r="D97" s="291"/>
      <c r="E97" s="292">
        <f>SUM(E98)</f>
        <v>100000</v>
      </c>
      <c r="F97" s="292">
        <f>SUM(F98)</f>
        <v>100000</v>
      </c>
      <c r="G97" s="293">
        <f>SUM(G98)</f>
        <v>50000</v>
      </c>
      <c r="H97" s="267">
        <f t="shared" si="34"/>
        <v>0.5</v>
      </c>
      <c r="I97" s="80">
        <f>SUM(I98)</f>
        <v>0</v>
      </c>
      <c r="J97" s="80">
        <f>SUM(J98)</f>
        <v>50000</v>
      </c>
      <c r="K97" s="82">
        <f t="shared" si="33"/>
        <v>0.5</v>
      </c>
      <c r="L97" s="294"/>
    </row>
    <row r="98" spans="1:12">
      <c r="A98" s="240"/>
      <c r="B98" s="3821" t="s">
        <v>25</v>
      </c>
      <c r="C98" s="3822"/>
      <c r="D98" s="295"/>
      <c r="E98" s="109">
        <f t="shared" ref="E98:G98" si="41">SUM(E99:E100)</f>
        <v>100000</v>
      </c>
      <c r="F98" s="109">
        <f t="shared" si="41"/>
        <v>100000</v>
      </c>
      <c r="G98" s="110">
        <f t="shared" si="41"/>
        <v>50000</v>
      </c>
      <c r="H98" s="138">
        <f t="shared" si="34"/>
        <v>0.5</v>
      </c>
      <c r="I98" s="109">
        <f t="shared" ref="I98:J98" si="42">SUM(I99:I100)</f>
        <v>0</v>
      </c>
      <c r="J98" s="109">
        <f t="shared" si="42"/>
        <v>50000</v>
      </c>
      <c r="K98" s="47">
        <f t="shared" si="33"/>
        <v>0.5</v>
      </c>
      <c r="L98" s="139"/>
    </row>
    <row r="99" spans="1:12" ht="18" customHeight="1">
      <c r="A99" s="240"/>
      <c r="B99" s="3823"/>
      <c r="C99" s="296" t="s">
        <v>110</v>
      </c>
      <c r="D99" s="297" t="s">
        <v>111</v>
      </c>
      <c r="E99" s="50">
        <v>100000</v>
      </c>
      <c r="F99" s="51">
        <v>100000</v>
      </c>
      <c r="G99" s="52">
        <v>50000</v>
      </c>
      <c r="H99" s="53">
        <f t="shared" si="34"/>
        <v>0.5</v>
      </c>
      <c r="I99" s="98">
        <v>0</v>
      </c>
      <c r="J99" s="98">
        <f t="shared" ref="J99" si="43">SUM(G99,I99)</f>
        <v>50000</v>
      </c>
      <c r="K99" s="56">
        <f t="shared" si="33"/>
        <v>0.5</v>
      </c>
      <c r="L99" s="145"/>
    </row>
    <row r="100" spans="1:12" ht="38.25" hidden="1" customHeight="1">
      <c r="A100" s="240"/>
      <c r="B100" s="3801"/>
      <c r="C100" s="296" t="s">
        <v>64</v>
      </c>
      <c r="D100" s="298" t="s">
        <v>112</v>
      </c>
      <c r="E100" s="299">
        <v>0</v>
      </c>
      <c r="F100" s="51">
        <v>0</v>
      </c>
      <c r="G100" s="52"/>
      <c r="H100" s="283" t="e">
        <f t="shared" si="34"/>
        <v>#DIV/0!</v>
      </c>
      <c r="I100" s="284"/>
      <c r="J100" s="284"/>
      <c r="K100" s="56" t="e">
        <f t="shared" si="33"/>
        <v>#DIV/0!</v>
      </c>
      <c r="L100" s="142"/>
    </row>
    <row r="101" spans="1:12" ht="15.75" thickBot="1">
      <c r="A101" s="240"/>
      <c r="B101" s="3819" t="s">
        <v>30</v>
      </c>
      <c r="C101" s="3784"/>
      <c r="D101" s="101"/>
      <c r="E101" s="102">
        <v>0</v>
      </c>
      <c r="F101" s="102">
        <v>0</v>
      </c>
      <c r="G101" s="103">
        <v>0</v>
      </c>
      <c r="H101" s="123"/>
      <c r="I101" s="286">
        <v>0</v>
      </c>
      <c r="J101" s="388">
        <v>0</v>
      </c>
      <c r="K101" s="287"/>
      <c r="L101" s="124"/>
    </row>
    <row r="102" spans="1:12" ht="15.75" thickBot="1">
      <c r="A102" s="300"/>
      <c r="B102" s="301">
        <v>60013</v>
      </c>
      <c r="C102" s="302" t="s">
        <v>113</v>
      </c>
      <c r="D102" s="303"/>
      <c r="E102" s="304">
        <f>SUM(E109,E103)</f>
        <v>126869888</v>
      </c>
      <c r="F102" s="304">
        <f>SUM(F109,F103)</f>
        <v>89353781</v>
      </c>
      <c r="G102" s="305">
        <f>SUM(G109,G103)</f>
        <v>152730670</v>
      </c>
      <c r="H102" s="39">
        <f t="shared" si="34"/>
        <v>1.2038370365708844</v>
      </c>
      <c r="I102" s="304">
        <f>SUM(I109,I103)</f>
        <v>0</v>
      </c>
      <c r="J102" s="304">
        <f>SUM(J109,J103)</f>
        <v>152730670</v>
      </c>
      <c r="K102" s="82">
        <f t="shared" si="33"/>
        <v>1.7092804388434328</v>
      </c>
      <c r="L102" s="306"/>
    </row>
    <row r="103" spans="1:12">
      <c r="A103" s="300"/>
      <c r="B103" s="3824" t="s">
        <v>25</v>
      </c>
      <c r="C103" s="3825"/>
      <c r="D103" s="307"/>
      <c r="E103" s="308">
        <f>SUM(E104:E108)</f>
        <v>1109000</v>
      </c>
      <c r="F103" s="309">
        <f>SUM(F104:F108)</f>
        <v>11364135</v>
      </c>
      <c r="G103" s="308">
        <f>SUM(G104:G108)</f>
        <v>1109000</v>
      </c>
      <c r="H103" s="138">
        <f t="shared" si="34"/>
        <v>1</v>
      </c>
      <c r="I103" s="309">
        <f>SUM(I104:I108)</f>
        <v>0</v>
      </c>
      <c r="J103" s="309">
        <f>SUM(J104:J108)</f>
        <v>1109000</v>
      </c>
      <c r="K103" s="47">
        <f t="shared" si="33"/>
        <v>9.7587717850940697E-2</v>
      </c>
      <c r="L103" s="311"/>
    </row>
    <row r="104" spans="1:12">
      <c r="A104" s="240"/>
      <c r="B104" s="3826"/>
      <c r="C104" s="3827" t="s">
        <v>114</v>
      </c>
      <c r="D104" s="312" t="s">
        <v>111</v>
      </c>
      <c r="E104" s="313">
        <v>1100000</v>
      </c>
      <c r="F104" s="314">
        <v>1100000</v>
      </c>
      <c r="G104" s="315">
        <v>1100000</v>
      </c>
      <c r="H104" s="53">
        <f t="shared" si="34"/>
        <v>1</v>
      </c>
      <c r="I104" s="61">
        <v>0</v>
      </c>
      <c r="J104" s="61">
        <f t="shared" ref="J104:J108" si="44">SUM(G104,I104)</f>
        <v>1100000</v>
      </c>
      <c r="K104" s="56">
        <f t="shared" si="33"/>
        <v>1</v>
      </c>
      <c r="L104" s="99"/>
    </row>
    <row r="105" spans="1:12" hidden="1">
      <c r="A105" s="240"/>
      <c r="B105" s="3826"/>
      <c r="C105" s="3828"/>
      <c r="D105" s="316" t="s">
        <v>36</v>
      </c>
      <c r="E105" s="313">
        <v>0</v>
      </c>
      <c r="F105" s="314">
        <v>25135</v>
      </c>
      <c r="G105" s="315">
        <v>0</v>
      </c>
      <c r="H105" s="53"/>
      <c r="I105" s="98">
        <v>0</v>
      </c>
      <c r="J105" s="98">
        <f t="shared" si="44"/>
        <v>0</v>
      </c>
      <c r="K105" s="56">
        <f t="shared" si="33"/>
        <v>0</v>
      </c>
      <c r="L105" s="99"/>
    </row>
    <row r="106" spans="1:12">
      <c r="A106" s="240"/>
      <c r="B106" s="3826"/>
      <c r="C106" s="3829"/>
      <c r="D106" s="317" t="s">
        <v>29</v>
      </c>
      <c r="E106" s="318">
        <v>9000</v>
      </c>
      <c r="F106" s="314">
        <v>9000</v>
      </c>
      <c r="G106" s="315">
        <v>9000</v>
      </c>
      <c r="H106" s="53">
        <f t="shared" si="34"/>
        <v>1</v>
      </c>
      <c r="I106" s="98">
        <v>0</v>
      </c>
      <c r="J106" s="98">
        <f t="shared" si="44"/>
        <v>9000</v>
      </c>
      <c r="K106" s="56">
        <f t="shared" si="33"/>
        <v>1</v>
      </c>
      <c r="L106" s="99"/>
    </row>
    <row r="107" spans="1:12" ht="25.5" hidden="1">
      <c r="A107" s="240"/>
      <c r="B107" s="3826"/>
      <c r="C107" s="319" t="s">
        <v>115</v>
      </c>
      <c r="D107" s="317" t="s">
        <v>116</v>
      </c>
      <c r="E107" s="318">
        <v>0</v>
      </c>
      <c r="F107" s="314">
        <v>7750000</v>
      </c>
      <c r="G107" s="315">
        <v>0</v>
      </c>
      <c r="H107" s="53"/>
      <c r="I107" s="98">
        <v>0</v>
      </c>
      <c r="J107" s="98">
        <f t="shared" si="44"/>
        <v>0</v>
      </c>
      <c r="K107" s="56">
        <f t="shared" si="33"/>
        <v>0</v>
      </c>
      <c r="L107" s="99"/>
    </row>
    <row r="108" spans="1:12" ht="38.25" hidden="1">
      <c r="A108" s="240"/>
      <c r="B108" s="3826"/>
      <c r="C108" s="320" t="s">
        <v>117</v>
      </c>
      <c r="D108" s="321" t="s">
        <v>91</v>
      </c>
      <c r="E108" s="318">
        <v>0</v>
      </c>
      <c r="F108" s="314">
        <v>2480000</v>
      </c>
      <c r="G108" s="315">
        <v>0</v>
      </c>
      <c r="H108" s="53"/>
      <c r="I108" s="98">
        <v>0</v>
      </c>
      <c r="J108" s="98">
        <f t="shared" si="44"/>
        <v>0</v>
      </c>
      <c r="K108" s="56">
        <f t="shared" si="33"/>
        <v>0</v>
      </c>
      <c r="L108" s="99"/>
    </row>
    <row r="109" spans="1:12">
      <c r="A109" s="300"/>
      <c r="B109" s="3810" t="s">
        <v>72</v>
      </c>
      <c r="C109" s="3811"/>
      <c r="D109" s="322"/>
      <c r="E109" s="323">
        <f>SUM(E110:E118)</f>
        <v>125760888</v>
      </c>
      <c r="F109" s="323">
        <f>SUM(F110:F118)</f>
        <v>77989646</v>
      </c>
      <c r="G109" s="324">
        <f>SUM(G110:G118)</f>
        <v>151621670</v>
      </c>
      <c r="H109" s="258">
        <f t="shared" si="34"/>
        <v>1.2056345371861561</v>
      </c>
      <c r="I109" s="323">
        <f>SUM(I110:I118)</f>
        <v>0</v>
      </c>
      <c r="J109" s="323">
        <f>SUM(J110:J118)</f>
        <v>151621670</v>
      </c>
      <c r="K109" s="259">
        <f t="shared" si="33"/>
        <v>1.9441256343181761</v>
      </c>
      <c r="L109" s="325"/>
    </row>
    <row r="110" spans="1:12" ht="63" hidden="1" customHeight="1">
      <c r="A110" s="300"/>
      <c r="B110" s="326"/>
      <c r="C110" s="327" t="s">
        <v>118</v>
      </c>
      <c r="D110" s="3812" t="s">
        <v>119</v>
      </c>
      <c r="E110" s="313">
        <v>0</v>
      </c>
      <c r="F110" s="328">
        <v>5028250</v>
      </c>
      <c r="G110" s="329">
        <v>0</v>
      </c>
      <c r="H110" s="53"/>
      <c r="I110" s="98">
        <v>0</v>
      </c>
      <c r="J110" s="98">
        <f t="shared" ref="J110:J118" si="45">SUM(G110,I110)</f>
        <v>0</v>
      </c>
      <c r="K110" s="56">
        <f t="shared" si="33"/>
        <v>0</v>
      </c>
      <c r="L110" s="330"/>
    </row>
    <row r="111" spans="1:12" ht="75.75" hidden="1" customHeight="1">
      <c r="A111" s="300"/>
      <c r="B111" s="326"/>
      <c r="C111" s="1153" t="s">
        <v>120</v>
      </c>
      <c r="D111" s="3813"/>
      <c r="E111" s="313">
        <v>0</v>
      </c>
      <c r="F111" s="328">
        <v>6914892</v>
      </c>
      <c r="G111" s="329">
        <v>0</v>
      </c>
      <c r="H111" s="53"/>
      <c r="I111" s="98">
        <v>0</v>
      </c>
      <c r="J111" s="98">
        <f t="shared" si="45"/>
        <v>0</v>
      </c>
      <c r="K111" s="56">
        <f t="shared" si="33"/>
        <v>0</v>
      </c>
      <c r="L111" s="330"/>
    </row>
    <row r="112" spans="1:12" ht="64.5" hidden="1" customHeight="1">
      <c r="A112" s="300"/>
      <c r="B112" s="326"/>
      <c r="C112" s="1152" t="s">
        <v>121</v>
      </c>
      <c r="D112" s="509" t="s">
        <v>119</v>
      </c>
      <c r="E112" s="318">
        <v>0</v>
      </c>
      <c r="F112" s="344">
        <v>431322</v>
      </c>
      <c r="G112" s="345">
        <v>0</v>
      </c>
      <c r="H112" s="442"/>
      <c r="I112" s="61">
        <v>0</v>
      </c>
      <c r="J112" s="61">
        <f t="shared" si="45"/>
        <v>0</v>
      </c>
      <c r="K112" s="218">
        <f t="shared" si="33"/>
        <v>0</v>
      </c>
      <c r="L112" s="338"/>
    </row>
    <row r="113" spans="1:12" ht="39" customHeight="1">
      <c r="A113" s="300"/>
      <c r="B113" s="326"/>
      <c r="C113" s="339" t="s">
        <v>122</v>
      </c>
      <c r="D113" s="312" t="s">
        <v>123</v>
      </c>
      <c r="E113" s="313">
        <v>56355000</v>
      </c>
      <c r="F113" s="328">
        <v>36303127</v>
      </c>
      <c r="G113" s="329">
        <v>59148348</v>
      </c>
      <c r="H113" s="53">
        <f t="shared" si="34"/>
        <v>1.0495669949427735</v>
      </c>
      <c r="I113" s="98">
        <v>0</v>
      </c>
      <c r="J113" s="98">
        <f t="shared" si="45"/>
        <v>59148348</v>
      </c>
      <c r="K113" s="56">
        <f t="shared" si="33"/>
        <v>1.6292907219810568</v>
      </c>
      <c r="L113" s="340"/>
    </row>
    <row r="114" spans="1:12" ht="63.75" hidden="1">
      <c r="A114" s="300"/>
      <c r="B114" s="326"/>
      <c r="C114" s="341" t="s">
        <v>124</v>
      </c>
      <c r="D114" s="312" t="s">
        <v>125</v>
      </c>
      <c r="E114" s="313">
        <v>0</v>
      </c>
      <c r="F114" s="328">
        <v>761051</v>
      </c>
      <c r="G114" s="329">
        <v>0</v>
      </c>
      <c r="H114" s="53"/>
      <c r="I114" s="98">
        <v>0</v>
      </c>
      <c r="J114" s="98">
        <f t="shared" si="45"/>
        <v>0</v>
      </c>
      <c r="K114" s="56">
        <f t="shared" si="33"/>
        <v>0</v>
      </c>
      <c r="L114" s="340"/>
    </row>
    <row r="115" spans="1:12" ht="51">
      <c r="A115" s="300"/>
      <c r="B115" s="326"/>
      <c r="C115" s="342" t="s">
        <v>102</v>
      </c>
      <c r="D115" s="343">
        <v>6300</v>
      </c>
      <c r="E115" s="318">
        <v>9760888</v>
      </c>
      <c r="F115" s="344">
        <v>21265109</v>
      </c>
      <c r="G115" s="345">
        <v>647153</v>
      </c>
      <c r="H115" s="53">
        <f t="shared" si="34"/>
        <v>6.6300627565852616E-2</v>
      </c>
      <c r="I115" s="61">
        <v>0</v>
      </c>
      <c r="J115" s="98">
        <f t="shared" si="45"/>
        <v>647153</v>
      </c>
      <c r="K115" s="56">
        <f t="shared" si="33"/>
        <v>3.0432620872058544E-2</v>
      </c>
      <c r="L115" s="338"/>
    </row>
    <row r="116" spans="1:12" ht="38.25">
      <c r="A116" s="300"/>
      <c r="B116" s="326"/>
      <c r="C116" s="346" t="s">
        <v>126</v>
      </c>
      <c r="D116" s="347">
        <v>6350</v>
      </c>
      <c r="E116" s="313">
        <v>46565000</v>
      </c>
      <c r="F116" s="328">
        <f>2577010+3028885</f>
        <v>5605895</v>
      </c>
      <c r="G116" s="329">
        <f>67746169+8080000</f>
        <v>75826169</v>
      </c>
      <c r="H116" s="53">
        <f t="shared" si="34"/>
        <v>1.6283940513261033</v>
      </c>
      <c r="I116" s="98">
        <v>0</v>
      </c>
      <c r="J116" s="98">
        <f t="shared" si="45"/>
        <v>75826169</v>
      </c>
      <c r="K116" s="56">
        <f t="shared" si="33"/>
        <v>13.526148634606963</v>
      </c>
      <c r="L116" s="340"/>
    </row>
    <row r="117" spans="1:12" ht="28.5" customHeight="1" thickBot="1">
      <c r="A117" s="300"/>
      <c r="B117" s="331"/>
      <c r="C117" s="1161" t="s">
        <v>127</v>
      </c>
      <c r="D117" s="1162">
        <v>6370</v>
      </c>
      <c r="E117" s="332">
        <v>11400000</v>
      </c>
      <c r="F117" s="333">
        <v>0</v>
      </c>
      <c r="G117" s="334">
        <v>16000000</v>
      </c>
      <c r="H117" s="198">
        <f t="shared" si="34"/>
        <v>1.4035087719298245</v>
      </c>
      <c r="I117" s="199">
        <v>0</v>
      </c>
      <c r="J117" s="199">
        <f t="shared" si="45"/>
        <v>16000000</v>
      </c>
      <c r="K117" s="56"/>
      <c r="L117" s="348"/>
    </row>
    <row r="118" spans="1:12" ht="39" hidden="1" thickBot="1">
      <c r="A118" s="300"/>
      <c r="B118" s="331"/>
      <c r="C118" s="349" t="s">
        <v>128</v>
      </c>
      <c r="D118" s="350">
        <v>6530</v>
      </c>
      <c r="E118" s="1158">
        <v>1680000</v>
      </c>
      <c r="F118" s="1159">
        <v>1680000</v>
      </c>
      <c r="G118" s="1160">
        <v>0</v>
      </c>
      <c r="H118" s="409">
        <f t="shared" si="34"/>
        <v>0</v>
      </c>
      <c r="I118" s="410">
        <v>0</v>
      </c>
      <c r="J118" s="61">
        <f t="shared" si="45"/>
        <v>0</v>
      </c>
      <c r="K118" s="56">
        <f t="shared" si="33"/>
        <v>0</v>
      </c>
      <c r="L118" s="351"/>
    </row>
    <row r="119" spans="1:12" ht="45.75" hidden="1" customHeight="1">
      <c r="A119" s="240"/>
      <c r="B119" s="352">
        <v>60078</v>
      </c>
      <c r="C119" s="353"/>
      <c r="D119" s="354"/>
      <c r="E119" s="355"/>
      <c r="F119" s="356"/>
      <c r="G119" s="357"/>
      <c r="H119" s="115" t="e">
        <f t="shared" si="34"/>
        <v>#DIV/0!</v>
      </c>
      <c r="I119" s="131"/>
      <c r="J119" s="131"/>
      <c r="K119" s="56" t="e">
        <f t="shared" si="33"/>
        <v>#DIV/0!</v>
      </c>
      <c r="L119" s="219"/>
    </row>
    <row r="120" spans="1:12" ht="42.75" hidden="1" customHeight="1">
      <c r="A120" s="240"/>
      <c r="B120" s="3814" t="s">
        <v>25</v>
      </c>
      <c r="C120" s="3814"/>
      <c r="D120" s="358"/>
      <c r="E120" s="359"/>
      <c r="F120" s="75"/>
      <c r="G120" s="76"/>
      <c r="H120" s="30" t="e">
        <f t="shared" si="34"/>
        <v>#DIV/0!</v>
      </c>
      <c r="I120" s="131"/>
      <c r="J120" s="131"/>
      <c r="K120" s="56" t="e">
        <f t="shared" si="33"/>
        <v>#DIV/0!</v>
      </c>
      <c r="L120" s="91"/>
    </row>
    <row r="121" spans="1:12" ht="51.75" hidden="1" customHeight="1" thickBot="1">
      <c r="A121" s="240"/>
      <c r="B121" s="360"/>
      <c r="C121" s="140" t="s">
        <v>102</v>
      </c>
      <c r="D121" s="113" t="s">
        <v>91</v>
      </c>
      <c r="E121" s="74"/>
      <c r="F121" s="75"/>
      <c r="G121" s="76"/>
      <c r="H121" s="30" t="e">
        <f t="shared" si="34"/>
        <v>#DIV/0!</v>
      </c>
      <c r="I121" s="131"/>
      <c r="J121" s="131"/>
      <c r="K121" s="56" t="e">
        <f t="shared" si="33"/>
        <v>#DIV/0!</v>
      </c>
      <c r="L121" s="91"/>
    </row>
    <row r="122" spans="1:12" ht="15.75" hidden="1" customHeight="1" thickBot="1">
      <c r="A122" s="240"/>
      <c r="B122" s="3815" t="s">
        <v>30</v>
      </c>
      <c r="C122" s="3816"/>
      <c r="D122" s="361"/>
      <c r="E122" s="362"/>
      <c r="F122" s="363"/>
      <c r="G122" s="364"/>
      <c r="H122" s="30" t="e">
        <f t="shared" si="34"/>
        <v>#DIV/0!</v>
      </c>
      <c r="I122" s="131"/>
      <c r="J122" s="131"/>
      <c r="K122" s="78" t="e">
        <f t="shared" si="33"/>
        <v>#DIV/0!</v>
      </c>
      <c r="L122" s="79"/>
    </row>
    <row r="123" spans="1:12" ht="15.75" thickBot="1">
      <c r="A123" s="240"/>
      <c r="B123" s="365">
        <v>60095</v>
      </c>
      <c r="C123" s="366" t="s">
        <v>50</v>
      </c>
      <c r="D123" s="367"/>
      <c r="E123" s="80">
        <f t="shared" ref="E123:G123" si="46">SUM(E124,E128)</f>
        <v>293941</v>
      </c>
      <c r="F123" s="80">
        <f t="shared" si="46"/>
        <v>293941</v>
      </c>
      <c r="G123" s="81">
        <f t="shared" si="46"/>
        <v>162680</v>
      </c>
      <c r="H123" s="39">
        <f t="shared" si="34"/>
        <v>0.55344439870586271</v>
      </c>
      <c r="I123" s="80">
        <f t="shared" ref="I123:J123" si="47">SUM(I124,I128)</f>
        <v>149421</v>
      </c>
      <c r="J123" s="80">
        <f t="shared" si="47"/>
        <v>312101</v>
      </c>
      <c r="K123" s="82">
        <f t="shared" si="33"/>
        <v>1.0617811057321027</v>
      </c>
      <c r="L123" s="41"/>
    </row>
    <row r="124" spans="1:12">
      <c r="A124" s="240"/>
      <c r="B124" s="3817" t="s">
        <v>25</v>
      </c>
      <c r="C124" s="3817"/>
      <c r="D124" s="368"/>
      <c r="E124" s="109">
        <f>SUM(E125:E127)</f>
        <v>293941</v>
      </c>
      <c r="F124" s="109">
        <f>SUM(F125:F127)</f>
        <v>293941</v>
      </c>
      <c r="G124" s="110">
        <f>SUM(G125:G127)</f>
        <v>162680</v>
      </c>
      <c r="H124" s="138">
        <f t="shared" si="34"/>
        <v>0.55344439870586271</v>
      </c>
      <c r="I124" s="109">
        <f>SUM(I125:I127)</f>
        <v>149421</v>
      </c>
      <c r="J124" s="109">
        <f>SUM(J125:J127)</f>
        <v>312101</v>
      </c>
      <c r="K124" s="47">
        <f t="shared" si="33"/>
        <v>1.0617811057321027</v>
      </c>
      <c r="L124" s="48"/>
    </row>
    <row r="125" spans="1:12" ht="68.25" customHeight="1" thickBot="1">
      <c r="A125" s="371"/>
      <c r="B125" s="1164"/>
      <c r="C125" s="1188" t="s">
        <v>129</v>
      </c>
      <c r="D125" s="253" t="s">
        <v>43</v>
      </c>
      <c r="E125" s="254">
        <v>520</v>
      </c>
      <c r="F125" s="589">
        <v>520</v>
      </c>
      <c r="G125" s="947">
        <v>680</v>
      </c>
      <c r="H125" s="198">
        <f t="shared" si="34"/>
        <v>1.3076923076923077</v>
      </c>
      <c r="I125" s="199">
        <v>0</v>
      </c>
      <c r="J125" s="199">
        <f t="shared" ref="J125:J127" si="48">SUM(G125,I125)</f>
        <v>680</v>
      </c>
      <c r="K125" s="56">
        <f t="shared" si="33"/>
        <v>1.3076923076923077</v>
      </c>
      <c r="L125" s="99"/>
    </row>
    <row r="126" spans="1:12" ht="42" customHeight="1">
      <c r="A126" s="238"/>
      <c r="B126" s="3818"/>
      <c r="C126" s="1189" t="s">
        <v>53</v>
      </c>
      <c r="D126" s="1190">
        <v>2210</v>
      </c>
      <c r="E126" s="574">
        <v>285000</v>
      </c>
      <c r="F126" s="481">
        <v>285000</v>
      </c>
      <c r="G126" s="482">
        <v>160000</v>
      </c>
      <c r="H126" s="335">
        <f t="shared" si="34"/>
        <v>0.56140350877192979</v>
      </c>
      <c r="I126" s="336">
        <f>13000+130000</f>
        <v>143000</v>
      </c>
      <c r="J126" s="336">
        <f t="shared" si="48"/>
        <v>303000</v>
      </c>
      <c r="K126" s="56">
        <f t="shared" si="33"/>
        <v>1.0631578947368421</v>
      </c>
      <c r="L126" s="145"/>
    </row>
    <row r="127" spans="1:12" ht="39.75" customHeight="1">
      <c r="A127" s="240"/>
      <c r="B127" s="3801"/>
      <c r="C127" s="87" t="s">
        <v>64</v>
      </c>
      <c r="D127" s="95">
        <v>2360</v>
      </c>
      <c r="E127" s="50">
        <v>8421</v>
      </c>
      <c r="F127" s="51">
        <v>8421</v>
      </c>
      <c r="G127" s="52">
        <v>2000</v>
      </c>
      <c r="H127" s="53">
        <f t="shared" si="34"/>
        <v>0.2375014843842774</v>
      </c>
      <c r="I127" s="98">
        <v>6421</v>
      </c>
      <c r="J127" s="98">
        <f t="shared" si="48"/>
        <v>8421</v>
      </c>
      <c r="K127" s="56">
        <f t="shared" si="33"/>
        <v>1</v>
      </c>
      <c r="L127" s="99"/>
    </row>
    <row r="128" spans="1:12" ht="15.75" thickBot="1">
      <c r="A128" s="371"/>
      <c r="B128" s="3819" t="s">
        <v>30</v>
      </c>
      <c r="C128" s="3819"/>
      <c r="D128" s="372"/>
      <c r="E128" s="102">
        <v>0</v>
      </c>
      <c r="F128" s="102">
        <v>0</v>
      </c>
      <c r="G128" s="103">
        <v>0</v>
      </c>
      <c r="H128" s="123"/>
      <c r="I128" s="373">
        <v>0</v>
      </c>
      <c r="J128" s="692">
        <v>0</v>
      </c>
      <c r="K128" s="374"/>
      <c r="L128" s="288"/>
    </row>
    <row r="129" spans="1:12" ht="15.75" thickBot="1">
      <c r="A129" s="234">
        <v>630</v>
      </c>
      <c r="B129" s="235"/>
      <c r="C129" s="26" t="s">
        <v>130</v>
      </c>
      <c r="D129" s="236"/>
      <c r="E129" s="28">
        <f>SUM(E130,E137,)</f>
        <v>151779</v>
      </c>
      <c r="F129" s="28">
        <f>SUM(F130,F137,)</f>
        <v>151779</v>
      </c>
      <c r="G129" s="29">
        <f>SUM(G130,G137,)</f>
        <v>0</v>
      </c>
      <c r="H129" s="115">
        <f t="shared" si="34"/>
        <v>0</v>
      </c>
      <c r="I129" s="28">
        <f>SUM(I130,I137,)</f>
        <v>58000</v>
      </c>
      <c r="J129" s="28">
        <f>SUM(J130,J137,)</f>
        <v>58000</v>
      </c>
      <c r="K129" s="31">
        <f t="shared" si="33"/>
        <v>0.3821345508930748</v>
      </c>
      <c r="L129" s="168"/>
    </row>
    <row r="130" spans="1:12" ht="15.75" hidden="1" thickBot="1">
      <c r="A130" s="3837"/>
      <c r="B130" s="365">
        <v>63003</v>
      </c>
      <c r="C130" s="366" t="s">
        <v>131</v>
      </c>
      <c r="D130" s="367"/>
      <c r="E130" s="80">
        <f>E131+E136</f>
        <v>101779</v>
      </c>
      <c r="F130" s="80">
        <f>F131+F136</f>
        <v>101779</v>
      </c>
      <c r="G130" s="81">
        <f>G131+G136</f>
        <v>0</v>
      </c>
      <c r="H130" s="375">
        <f t="shared" si="34"/>
        <v>0</v>
      </c>
      <c r="I130" s="80">
        <f>I131+I136</f>
        <v>0</v>
      </c>
      <c r="J130" s="80">
        <f>J131+J136</f>
        <v>0</v>
      </c>
      <c r="K130" s="82">
        <f t="shared" si="33"/>
        <v>0</v>
      </c>
      <c r="L130" s="41"/>
    </row>
    <row r="131" spans="1:12" ht="15.75" hidden="1" thickBot="1">
      <c r="A131" s="3838"/>
      <c r="B131" s="3759" t="s">
        <v>98</v>
      </c>
      <c r="C131" s="3777"/>
      <c r="D131" s="376"/>
      <c r="E131" s="377">
        <f>SUM(E132:E135)</f>
        <v>101779</v>
      </c>
      <c r="F131" s="377">
        <f>SUM(F132:F135)</f>
        <v>101779</v>
      </c>
      <c r="G131" s="378">
        <f>SUM(G132:G135)</f>
        <v>0</v>
      </c>
      <c r="H131" s="379">
        <f t="shared" si="34"/>
        <v>0</v>
      </c>
      <c r="I131" s="377">
        <f>SUM(I132:I135)</f>
        <v>0</v>
      </c>
      <c r="J131" s="84">
        <f>SUM(J132:J135)</f>
        <v>0</v>
      </c>
      <c r="K131" s="47">
        <f t="shared" si="33"/>
        <v>0</v>
      </c>
      <c r="L131" s="48"/>
    </row>
    <row r="132" spans="1:12" ht="41.25" hidden="1" customHeight="1">
      <c r="A132" s="3838"/>
      <c r="B132" s="3840"/>
      <c r="C132" s="381" t="s">
        <v>132</v>
      </c>
      <c r="D132" s="382" t="s">
        <v>78</v>
      </c>
      <c r="E132" s="118"/>
      <c r="F132" s="51"/>
      <c r="G132" s="52"/>
      <c r="H132" s="53" t="e">
        <f t="shared" si="34"/>
        <v>#DIV/0!</v>
      </c>
      <c r="I132" s="98"/>
      <c r="J132" s="98"/>
      <c r="K132" s="56" t="e">
        <f t="shared" si="33"/>
        <v>#DIV/0!</v>
      </c>
      <c r="L132" s="91"/>
    </row>
    <row r="133" spans="1:12" ht="43.5" hidden="1" customHeight="1">
      <c r="A133" s="3838"/>
      <c r="B133" s="3840"/>
      <c r="C133" s="383" t="s">
        <v>35</v>
      </c>
      <c r="D133" s="384" t="s">
        <v>36</v>
      </c>
      <c r="E133" s="114"/>
      <c r="F133" s="51"/>
      <c r="G133" s="52"/>
      <c r="H133" s="53" t="e">
        <f t="shared" si="34"/>
        <v>#DIV/0!</v>
      </c>
      <c r="I133" s="98"/>
      <c r="J133" s="98"/>
      <c r="K133" s="56" t="e">
        <f t="shared" si="33"/>
        <v>#DIV/0!</v>
      </c>
      <c r="L133" s="91"/>
    </row>
    <row r="134" spans="1:12" ht="77.25" hidden="1" thickBot="1">
      <c r="A134" s="3838"/>
      <c r="B134" s="3840"/>
      <c r="C134" s="369" t="s">
        <v>133</v>
      </c>
      <c r="D134" s="93">
        <v>2058</v>
      </c>
      <c r="E134" s="50">
        <v>101779</v>
      </c>
      <c r="F134" s="51">
        <v>101779</v>
      </c>
      <c r="G134" s="52">
        <v>0</v>
      </c>
      <c r="H134" s="53">
        <f t="shared" si="34"/>
        <v>0</v>
      </c>
      <c r="I134" s="98">
        <v>0</v>
      </c>
      <c r="J134" s="98">
        <f t="shared" ref="J134" si="49">SUM(G134,I134)</f>
        <v>0</v>
      </c>
      <c r="K134" s="56">
        <f t="shared" si="33"/>
        <v>0</v>
      </c>
      <c r="L134" s="99"/>
    </row>
    <row r="135" spans="1:12" ht="51.75" hidden="1" thickBot="1">
      <c r="A135" s="3838"/>
      <c r="B135" s="3841"/>
      <c r="C135" s="1186" t="s">
        <v>134</v>
      </c>
      <c r="D135" s="385">
        <v>2910</v>
      </c>
      <c r="E135" s="386"/>
      <c r="F135" s="51"/>
      <c r="G135" s="52"/>
      <c r="H135" s="53" t="e">
        <f t="shared" si="34"/>
        <v>#DIV/0!</v>
      </c>
      <c r="I135" s="98"/>
      <c r="J135" s="98"/>
      <c r="K135" s="56" t="e">
        <f t="shared" si="33"/>
        <v>#DIV/0!</v>
      </c>
      <c r="L135" s="91"/>
    </row>
    <row r="136" spans="1:12" ht="15.75" hidden="1" thickBot="1">
      <c r="A136" s="3838"/>
      <c r="B136" s="3766" t="s">
        <v>30</v>
      </c>
      <c r="C136" s="3784"/>
      <c r="D136" s="101"/>
      <c r="E136" s="102">
        <v>0</v>
      </c>
      <c r="F136" s="102">
        <v>0</v>
      </c>
      <c r="G136" s="164">
        <v>0</v>
      </c>
      <c r="H136" s="387"/>
      <c r="I136" s="388">
        <v>0</v>
      </c>
      <c r="J136" s="388">
        <v>0</v>
      </c>
      <c r="K136" s="287"/>
      <c r="L136" s="105"/>
    </row>
    <row r="137" spans="1:12" ht="15.75" thickBot="1">
      <c r="A137" s="3838"/>
      <c r="B137" s="389">
        <v>63095</v>
      </c>
      <c r="C137" s="390" t="s">
        <v>50</v>
      </c>
      <c r="D137" s="391"/>
      <c r="E137" s="292">
        <f t="shared" ref="E137:G137" si="50">E138+E140</f>
        <v>50000</v>
      </c>
      <c r="F137" s="292">
        <f t="shared" si="50"/>
        <v>50000</v>
      </c>
      <c r="G137" s="81">
        <f t="shared" si="50"/>
        <v>0</v>
      </c>
      <c r="H137" s="375">
        <f t="shared" si="34"/>
        <v>0</v>
      </c>
      <c r="I137" s="80">
        <f t="shared" ref="I137:J137" si="51">I138+I140</f>
        <v>58000</v>
      </c>
      <c r="J137" s="80">
        <f t="shared" si="51"/>
        <v>58000</v>
      </c>
      <c r="K137" s="82">
        <f t="shared" si="33"/>
        <v>1.1599999999999999</v>
      </c>
      <c r="L137" s="135"/>
    </row>
    <row r="138" spans="1:12" ht="15" customHeight="1">
      <c r="A138" s="3838"/>
      <c r="B138" s="3759" t="s">
        <v>25</v>
      </c>
      <c r="C138" s="3777"/>
      <c r="D138" s="376"/>
      <c r="E138" s="377">
        <f t="shared" ref="E138:J138" si="52">E139</f>
        <v>50000</v>
      </c>
      <c r="F138" s="84">
        <f t="shared" si="52"/>
        <v>50000</v>
      </c>
      <c r="G138" s="85">
        <f t="shared" si="52"/>
        <v>0</v>
      </c>
      <c r="H138" s="379">
        <f t="shared" si="34"/>
        <v>0</v>
      </c>
      <c r="I138" s="84">
        <f t="shared" si="52"/>
        <v>58000</v>
      </c>
      <c r="J138" s="84">
        <f t="shared" si="52"/>
        <v>58000</v>
      </c>
      <c r="K138" s="47">
        <f t="shared" ref="K138:K201" si="53">J138/F138</f>
        <v>1.1599999999999999</v>
      </c>
      <c r="L138" s="139"/>
    </row>
    <row r="139" spans="1:12" ht="38.25">
      <c r="A139" s="3838"/>
      <c r="B139" s="57"/>
      <c r="C139" s="1187" t="s">
        <v>53</v>
      </c>
      <c r="D139" s="95">
        <v>2210</v>
      </c>
      <c r="E139" s="50">
        <v>50000</v>
      </c>
      <c r="F139" s="51">
        <v>50000</v>
      </c>
      <c r="G139" s="52">
        <v>0</v>
      </c>
      <c r="H139" s="53">
        <f t="shared" ref="H139:H202" si="54">G139/E139</f>
        <v>0</v>
      </c>
      <c r="I139" s="98">
        <v>58000</v>
      </c>
      <c r="J139" s="98">
        <f t="shared" ref="J139" si="55">SUM(G139,I139)</f>
        <v>58000</v>
      </c>
      <c r="K139" s="56">
        <f t="shared" si="53"/>
        <v>1.1599999999999999</v>
      </c>
      <c r="L139" s="145"/>
    </row>
    <row r="140" spans="1:12" ht="15.75" customHeight="1" thickBot="1">
      <c r="A140" s="3839"/>
      <c r="B140" s="3766" t="s">
        <v>30</v>
      </c>
      <c r="C140" s="3784"/>
      <c r="D140" s="101"/>
      <c r="E140" s="102">
        <v>0</v>
      </c>
      <c r="F140" s="102">
        <v>0</v>
      </c>
      <c r="G140" s="103">
        <v>0</v>
      </c>
      <c r="H140" s="420"/>
      <c r="I140" s="692">
        <v>0</v>
      </c>
      <c r="J140" s="692">
        <v>0</v>
      </c>
      <c r="K140" s="374"/>
      <c r="L140" s="392"/>
    </row>
    <row r="141" spans="1:12" s="1" customFormat="1" ht="17.25" customHeight="1" thickBot="1">
      <c r="A141" s="234">
        <v>700</v>
      </c>
      <c r="B141" s="235"/>
      <c r="C141" s="26" t="s">
        <v>135</v>
      </c>
      <c r="D141" s="236"/>
      <c r="E141" s="28">
        <f>SUM(E142,)</f>
        <v>3415600</v>
      </c>
      <c r="F141" s="28">
        <f>SUM(F142,)</f>
        <v>3415600</v>
      </c>
      <c r="G141" s="29">
        <f>SUM(G142,)</f>
        <v>3809000</v>
      </c>
      <c r="H141" s="393">
        <f t="shared" si="54"/>
        <v>1.1151774212437053</v>
      </c>
      <c r="I141" s="28">
        <f>SUM(I142,)</f>
        <v>0</v>
      </c>
      <c r="J141" s="28">
        <f>SUM(J142,)</f>
        <v>3809000</v>
      </c>
      <c r="K141" s="31">
        <f t="shared" si="53"/>
        <v>1.1151774212437053</v>
      </c>
      <c r="L141" s="32"/>
    </row>
    <row r="142" spans="1:12" s="1" customFormat="1" ht="15.75" thickBot="1">
      <c r="A142" s="394"/>
      <c r="B142" s="239">
        <v>70005</v>
      </c>
      <c r="C142" s="35" t="s">
        <v>136</v>
      </c>
      <c r="D142" s="36"/>
      <c r="E142" s="80">
        <f>SUM(E143,E148)</f>
        <v>3415600</v>
      </c>
      <c r="F142" s="80">
        <f>SUM(F143,F148)</f>
        <v>3415600</v>
      </c>
      <c r="G142" s="81">
        <f>SUM(G143,G148)</f>
        <v>3809000</v>
      </c>
      <c r="H142" s="375">
        <f t="shared" si="54"/>
        <v>1.1151774212437053</v>
      </c>
      <c r="I142" s="80">
        <f>SUM(I143,I148)</f>
        <v>0</v>
      </c>
      <c r="J142" s="80">
        <f>SUM(J143,J148)</f>
        <v>3809000</v>
      </c>
      <c r="K142" s="82">
        <f t="shared" si="53"/>
        <v>1.1151774212437053</v>
      </c>
      <c r="L142" s="41"/>
    </row>
    <row r="143" spans="1:12" ht="15.75" customHeight="1">
      <c r="A143" s="395"/>
      <c r="B143" s="3790" t="s">
        <v>25</v>
      </c>
      <c r="C143" s="3789"/>
      <c r="D143" s="169"/>
      <c r="E143" s="170">
        <f>SUM(E144:E147)</f>
        <v>414000</v>
      </c>
      <c r="F143" s="170">
        <f>SUM(F144:F147)</f>
        <v>414000</v>
      </c>
      <c r="G143" s="171">
        <f>SUM(G144:G147)</f>
        <v>409000</v>
      </c>
      <c r="H143" s="379">
        <f t="shared" si="54"/>
        <v>0.98792270531400961</v>
      </c>
      <c r="I143" s="170">
        <f>SUM(I144:I147)</f>
        <v>0</v>
      </c>
      <c r="J143" s="170">
        <f>SUM(J144:J147)</f>
        <v>409000</v>
      </c>
      <c r="K143" s="47">
        <f t="shared" si="53"/>
        <v>0.98792270531400961</v>
      </c>
      <c r="L143" s="48"/>
    </row>
    <row r="144" spans="1:12">
      <c r="A144" s="395"/>
      <c r="B144" s="3830"/>
      <c r="C144" s="111" t="s">
        <v>137</v>
      </c>
      <c r="D144" s="49" t="s">
        <v>138</v>
      </c>
      <c r="E144" s="50">
        <v>330000</v>
      </c>
      <c r="F144" s="51">
        <v>330000</v>
      </c>
      <c r="G144" s="52">
        <v>330000</v>
      </c>
      <c r="H144" s="53">
        <f t="shared" si="54"/>
        <v>1</v>
      </c>
      <c r="I144" s="98">
        <v>0</v>
      </c>
      <c r="J144" s="98">
        <f t="shared" ref="J144:J147" si="56">SUM(G144,I144)</f>
        <v>330000</v>
      </c>
      <c r="K144" s="56">
        <f t="shared" si="53"/>
        <v>1</v>
      </c>
      <c r="L144" s="99"/>
    </row>
    <row r="145" spans="1:12" s="398" customFormat="1" ht="16.5" customHeight="1">
      <c r="A145" s="395"/>
      <c r="B145" s="3831"/>
      <c r="C145" s="282" t="s">
        <v>139</v>
      </c>
      <c r="D145" s="58" t="s">
        <v>140</v>
      </c>
      <c r="E145" s="50">
        <v>24000</v>
      </c>
      <c r="F145" s="396">
        <v>24000</v>
      </c>
      <c r="G145" s="397">
        <v>24000</v>
      </c>
      <c r="H145" s="53">
        <f t="shared" si="54"/>
        <v>1</v>
      </c>
      <c r="I145" s="98">
        <v>0</v>
      </c>
      <c r="J145" s="98">
        <f t="shared" si="56"/>
        <v>24000</v>
      </c>
      <c r="K145" s="56">
        <f t="shared" si="53"/>
        <v>1</v>
      </c>
      <c r="L145" s="99"/>
    </row>
    <row r="146" spans="1:12" s="398" customFormat="1">
      <c r="A146" s="395"/>
      <c r="B146" s="3831"/>
      <c r="C146" s="111" t="s">
        <v>141</v>
      </c>
      <c r="D146" s="49" t="s">
        <v>27</v>
      </c>
      <c r="E146" s="50">
        <v>40000</v>
      </c>
      <c r="F146" s="396">
        <v>40000</v>
      </c>
      <c r="G146" s="397">
        <v>30000</v>
      </c>
      <c r="H146" s="53">
        <f t="shared" si="54"/>
        <v>0.75</v>
      </c>
      <c r="I146" s="98">
        <v>0</v>
      </c>
      <c r="J146" s="98">
        <f t="shared" si="56"/>
        <v>30000</v>
      </c>
      <c r="K146" s="56">
        <f t="shared" si="53"/>
        <v>0.75</v>
      </c>
      <c r="L146" s="99"/>
    </row>
    <row r="147" spans="1:12">
      <c r="A147" s="395"/>
      <c r="B147" s="3831"/>
      <c r="C147" s="399" t="s">
        <v>142</v>
      </c>
      <c r="D147" s="268" t="s">
        <v>28</v>
      </c>
      <c r="E147" s="97">
        <v>20000</v>
      </c>
      <c r="F147" s="400">
        <v>20000</v>
      </c>
      <c r="G147" s="151">
        <v>25000</v>
      </c>
      <c r="H147" s="53">
        <f t="shared" si="54"/>
        <v>1.25</v>
      </c>
      <c r="I147" s="266">
        <v>0</v>
      </c>
      <c r="J147" s="98">
        <f t="shared" si="56"/>
        <v>25000</v>
      </c>
      <c r="K147" s="56">
        <f t="shared" si="53"/>
        <v>1.25</v>
      </c>
      <c r="L147" s="280"/>
    </row>
    <row r="148" spans="1:12" ht="15.75" thickBot="1">
      <c r="A148" s="395"/>
      <c r="B148" s="3757" t="s">
        <v>72</v>
      </c>
      <c r="C148" s="3832"/>
      <c r="D148" s="136"/>
      <c r="E148" s="64">
        <f>SUM(E149:E150)</f>
        <v>3001600</v>
      </c>
      <c r="F148" s="64">
        <f>SUM(F149:F150)</f>
        <v>3001600</v>
      </c>
      <c r="G148" s="137">
        <f>SUM(G149:G150)</f>
        <v>3400000</v>
      </c>
      <c r="H148" s="258">
        <f t="shared" si="54"/>
        <v>1.1327292110874201</v>
      </c>
      <c r="I148" s="64">
        <f>SUM(I149:I150)</f>
        <v>0</v>
      </c>
      <c r="J148" s="64">
        <f>SUM(J149:J150)</f>
        <v>3400000</v>
      </c>
      <c r="K148" s="259">
        <f t="shared" si="53"/>
        <v>1.1327292110874201</v>
      </c>
      <c r="L148" s="70"/>
    </row>
    <row r="149" spans="1:12" ht="30.75" hidden="1" customHeight="1" thickBot="1">
      <c r="A149" s="395"/>
      <c r="B149" s="401"/>
      <c r="C149" s="88" t="s">
        <v>143</v>
      </c>
      <c r="D149" s="297" t="s">
        <v>144</v>
      </c>
      <c r="E149" s="50">
        <v>1600</v>
      </c>
      <c r="F149" s="51">
        <v>1600</v>
      </c>
      <c r="G149" s="52">
        <v>0</v>
      </c>
      <c r="H149" s="53">
        <f t="shared" si="54"/>
        <v>0</v>
      </c>
      <c r="I149" s="98">
        <v>0</v>
      </c>
      <c r="J149" s="98">
        <f t="shared" ref="J149:J150" si="57">SUM(G149,I149)</f>
        <v>0</v>
      </c>
      <c r="K149" s="56">
        <f t="shared" si="53"/>
        <v>0</v>
      </c>
      <c r="L149" s="402"/>
    </row>
    <row r="150" spans="1:12" ht="194.25" customHeight="1" thickBot="1">
      <c r="A150" s="403"/>
      <c r="B150" s="404"/>
      <c r="C150" s="405" t="s">
        <v>420</v>
      </c>
      <c r="D150" s="406" t="s">
        <v>145</v>
      </c>
      <c r="E150" s="264">
        <v>3000000</v>
      </c>
      <c r="F150" s="407">
        <v>3000000</v>
      </c>
      <c r="G150" s="408">
        <v>3400000</v>
      </c>
      <c r="H150" s="409">
        <f t="shared" si="54"/>
        <v>1.1333333333333333</v>
      </c>
      <c r="I150" s="410">
        <v>0</v>
      </c>
      <c r="J150" s="410">
        <f t="shared" si="57"/>
        <v>3400000</v>
      </c>
      <c r="K150" s="411">
        <f t="shared" si="53"/>
        <v>1.1333333333333333</v>
      </c>
      <c r="L150" s="412" t="s">
        <v>146</v>
      </c>
    </row>
    <row r="151" spans="1:12" s="1" customFormat="1" ht="15.75" thickBot="1">
      <c r="A151" s="234">
        <v>710</v>
      </c>
      <c r="B151" s="413"/>
      <c r="C151" s="26" t="s">
        <v>147</v>
      </c>
      <c r="D151" s="236"/>
      <c r="E151" s="28">
        <f>SUM(E152,E158,E162)</f>
        <v>455308</v>
      </c>
      <c r="F151" s="28">
        <f>SUM(F152,F158,F162)</f>
        <v>455308</v>
      </c>
      <c r="G151" s="29">
        <f>SUM(G152,G158,G162)</f>
        <v>407383</v>
      </c>
      <c r="H151" s="393">
        <f t="shared" si="54"/>
        <v>0.89474158152283734</v>
      </c>
      <c r="I151" s="28">
        <f>SUM(I152,I158,I162)</f>
        <v>-51000</v>
      </c>
      <c r="J151" s="28">
        <f>SUM(J152,J158,J162)</f>
        <v>356383</v>
      </c>
      <c r="K151" s="31">
        <f t="shared" si="53"/>
        <v>0.78272949300253891</v>
      </c>
      <c r="L151" s="168"/>
    </row>
    <row r="152" spans="1:12" s="1" customFormat="1" ht="15.75" hidden="1" thickBot="1">
      <c r="A152" s="414"/>
      <c r="B152" s="415">
        <v>71003</v>
      </c>
      <c r="C152" s="35" t="s">
        <v>148</v>
      </c>
      <c r="D152" s="36"/>
      <c r="E152" s="159">
        <f>SUM(E153,E157)</f>
        <v>48000</v>
      </c>
      <c r="F152" s="159">
        <f>SUM(F153,F157)</f>
        <v>48000</v>
      </c>
      <c r="G152" s="160">
        <f>SUM(G153,G157)</f>
        <v>0</v>
      </c>
      <c r="H152" s="375">
        <f t="shared" si="54"/>
        <v>0</v>
      </c>
      <c r="I152" s="159">
        <f>SUM(I153,I157)</f>
        <v>0</v>
      </c>
      <c r="J152" s="159">
        <f>SUM(J153,J157)</f>
        <v>0</v>
      </c>
      <c r="K152" s="40">
        <f t="shared" si="53"/>
        <v>0</v>
      </c>
      <c r="L152" s="135"/>
    </row>
    <row r="153" spans="1:12" s="1" customFormat="1" ht="15.75" hidden="1" thickBot="1">
      <c r="A153" s="416"/>
      <c r="B153" s="3788" t="s">
        <v>25</v>
      </c>
      <c r="C153" s="3789"/>
      <c r="D153" s="169"/>
      <c r="E153" s="109">
        <f>SUM(E154:E156)</f>
        <v>48000</v>
      </c>
      <c r="F153" s="109">
        <f>SUM(F154:F156)</f>
        <v>48000</v>
      </c>
      <c r="G153" s="110">
        <f>SUM(G154:G156)</f>
        <v>0</v>
      </c>
      <c r="H153" s="379">
        <f t="shared" si="54"/>
        <v>0</v>
      </c>
      <c r="I153" s="109">
        <f>SUM(I154:I156)</f>
        <v>0</v>
      </c>
      <c r="J153" s="109">
        <f>SUM(J154:J156)</f>
        <v>0</v>
      </c>
      <c r="K153" s="417">
        <f t="shared" si="53"/>
        <v>0</v>
      </c>
      <c r="L153" s="48"/>
    </row>
    <row r="154" spans="1:12" ht="15.75" hidden="1" thickBot="1">
      <c r="A154" s="416"/>
      <c r="B154" s="3833"/>
      <c r="C154" s="3835" t="s">
        <v>149</v>
      </c>
      <c r="D154" s="58" t="s">
        <v>27</v>
      </c>
      <c r="E154" s="50">
        <v>3100</v>
      </c>
      <c r="F154" s="51">
        <v>3100</v>
      </c>
      <c r="G154" s="52">
        <v>0</v>
      </c>
      <c r="H154" s="53">
        <f t="shared" si="54"/>
        <v>0</v>
      </c>
      <c r="I154" s="54">
        <v>0</v>
      </c>
      <c r="J154" s="98">
        <f t="shared" ref="J154:J156" si="58">SUM(G154,I154)</f>
        <v>0</v>
      </c>
      <c r="K154" s="56">
        <f t="shared" si="53"/>
        <v>0</v>
      </c>
      <c r="L154" s="3781"/>
    </row>
    <row r="155" spans="1:12" ht="15.75" hidden="1" thickBot="1">
      <c r="A155" s="416"/>
      <c r="B155" s="3834"/>
      <c r="C155" s="3836"/>
      <c r="D155" s="49" t="s">
        <v>28</v>
      </c>
      <c r="E155" s="50">
        <v>44200</v>
      </c>
      <c r="F155" s="51">
        <v>44200</v>
      </c>
      <c r="G155" s="52">
        <v>0</v>
      </c>
      <c r="H155" s="53">
        <f t="shared" si="54"/>
        <v>0</v>
      </c>
      <c r="I155" s="54">
        <v>0</v>
      </c>
      <c r="J155" s="98">
        <f t="shared" si="58"/>
        <v>0</v>
      </c>
      <c r="K155" s="56">
        <f t="shared" si="53"/>
        <v>0</v>
      </c>
      <c r="L155" s="3782"/>
    </row>
    <row r="156" spans="1:12" ht="15.75" hidden="1" thickBot="1">
      <c r="A156" s="416"/>
      <c r="B156" s="3834"/>
      <c r="C156" s="3836"/>
      <c r="D156" s="49" t="s">
        <v>29</v>
      </c>
      <c r="E156" s="50">
        <v>700</v>
      </c>
      <c r="F156" s="51">
        <v>700</v>
      </c>
      <c r="G156" s="52">
        <v>0</v>
      </c>
      <c r="H156" s="53">
        <f t="shared" si="54"/>
        <v>0</v>
      </c>
      <c r="I156" s="61">
        <v>0</v>
      </c>
      <c r="J156" s="98">
        <f t="shared" si="58"/>
        <v>0</v>
      </c>
      <c r="K156" s="56">
        <f t="shared" si="53"/>
        <v>0</v>
      </c>
      <c r="L156" s="3783"/>
    </row>
    <row r="157" spans="1:12" s="1" customFormat="1" ht="14.25" hidden="1" customHeight="1" thickBot="1">
      <c r="A157" s="418"/>
      <c r="B157" s="3766" t="s">
        <v>72</v>
      </c>
      <c r="C157" s="3767"/>
      <c r="D157" s="101"/>
      <c r="E157" s="102">
        <v>0</v>
      </c>
      <c r="F157" s="102">
        <v>0</v>
      </c>
      <c r="G157" s="419">
        <v>0</v>
      </c>
      <c r="H157" s="420"/>
      <c r="I157" s="102">
        <v>0</v>
      </c>
      <c r="J157" s="102">
        <v>0</v>
      </c>
      <c r="K157" s="421"/>
      <c r="L157" s="70"/>
    </row>
    <row r="158" spans="1:12" ht="15.75" thickBot="1">
      <c r="A158" s="414"/>
      <c r="B158" s="239">
        <v>71005</v>
      </c>
      <c r="C158" s="36" t="s">
        <v>150</v>
      </c>
      <c r="D158" s="36"/>
      <c r="E158" s="80">
        <f t="shared" ref="E158:G158" si="59">SUM(E161,E159)</f>
        <v>158</v>
      </c>
      <c r="F158" s="80">
        <f t="shared" si="59"/>
        <v>158</v>
      </c>
      <c r="G158" s="81">
        <f t="shared" si="59"/>
        <v>263</v>
      </c>
      <c r="H158" s="375">
        <f t="shared" si="54"/>
        <v>1.6645569620253164</v>
      </c>
      <c r="I158" s="80">
        <f t="shared" ref="I158:J158" si="60">SUM(I161,I159)</f>
        <v>0</v>
      </c>
      <c r="J158" s="80">
        <f t="shared" si="60"/>
        <v>263</v>
      </c>
      <c r="K158" s="82">
        <f t="shared" si="53"/>
        <v>1.6645569620253164</v>
      </c>
      <c r="L158" s="41"/>
    </row>
    <row r="159" spans="1:12" ht="15" customHeight="1">
      <c r="A159" s="416"/>
      <c r="B159" s="3790" t="s">
        <v>25</v>
      </c>
      <c r="C159" s="3789"/>
      <c r="D159" s="169"/>
      <c r="E159" s="109">
        <f t="shared" ref="E159:J159" si="61">SUM(E160)</f>
        <v>158</v>
      </c>
      <c r="F159" s="109">
        <f t="shared" si="61"/>
        <v>158</v>
      </c>
      <c r="G159" s="110">
        <f t="shared" si="61"/>
        <v>263</v>
      </c>
      <c r="H159" s="379">
        <f t="shared" si="54"/>
        <v>1.6645569620253164</v>
      </c>
      <c r="I159" s="109">
        <f t="shared" si="61"/>
        <v>0</v>
      </c>
      <c r="J159" s="109">
        <f t="shared" si="61"/>
        <v>263</v>
      </c>
      <c r="K159" s="47">
        <f t="shared" si="53"/>
        <v>1.6645569620253164</v>
      </c>
      <c r="L159" s="48"/>
    </row>
    <row r="160" spans="1:12" ht="39.75" customHeight="1">
      <c r="A160" s="416"/>
      <c r="B160" s="422"/>
      <c r="C160" s="111" t="s">
        <v>64</v>
      </c>
      <c r="D160" s="93">
        <v>2360</v>
      </c>
      <c r="E160" s="50">
        <v>158</v>
      </c>
      <c r="F160" s="51">
        <v>158</v>
      </c>
      <c r="G160" s="52">
        <v>263</v>
      </c>
      <c r="H160" s="53">
        <f t="shared" si="54"/>
        <v>1.6645569620253164</v>
      </c>
      <c r="I160" s="98">
        <v>0</v>
      </c>
      <c r="J160" s="98">
        <f t="shared" ref="J160" si="62">SUM(G160,I160)</f>
        <v>263</v>
      </c>
      <c r="K160" s="56">
        <f t="shared" si="53"/>
        <v>1.6645569620253164</v>
      </c>
      <c r="L160" s="99"/>
    </row>
    <row r="161" spans="1:12" ht="16.5" customHeight="1" thickBot="1">
      <c r="A161" s="416"/>
      <c r="B161" s="3849" t="s">
        <v>30</v>
      </c>
      <c r="C161" s="3850"/>
      <c r="D161" s="163"/>
      <c r="E161" s="423">
        <v>0</v>
      </c>
      <c r="F161" s="65">
        <v>0</v>
      </c>
      <c r="G161" s="164">
        <v>0</v>
      </c>
      <c r="H161" s="387"/>
      <c r="I161" s="423">
        <v>0</v>
      </c>
      <c r="J161" s="423">
        <v>0</v>
      </c>
      <c r="K161" s="287"/>
      <c r="L161" s="105"/>
    </row>
    <row r="162" spans="1:12" ht="16.5" customHeight="1" thickBot="1">
      <c r="A162" s="416"/>
      <c r="B162" s="424">
        <v>71012</v>
      </c>
      <c r="C162" s="35" t="s">
        <v>151</v>
      </c>
      <c r="D162" s="36"/>
      <c r="E162" s="159">
        <f t="shared" ref="E162:G162" si="63">SUM(E163,E169)</f>
        <v>407150</v>
      </c>
      <c r="F162" s="159">
        <f t="shared" si="63"/>
        <v>407150</v>
      </c>
      <c r="G162" s="160">
        <f t="shared" si="63"/>
        <v>407120</v>
      </c>
      <c r="H162" s="375">
        <f t="shared" si="54"/>
        <v>0.9999263170821564</v>
      </c>
      <c r="I162" s="159">
        <f t="shared" ref="I162:J162" si="64">SUM(I163,I169)</f>
        <v>-51000</v>
      </c>
      <c r="J162" s="159">
        <f t="shared" si="64"/>
        <v>356120</v>
      </c>
      <c r="K162" s="82">
        <f t="shared" si="53"/>
        <v>0.87466535674812718</v>
      </c>
      <c r="L162" s="41"/>
    </row>
    <row r="163" spans="1:12" ht="15.75" customHeight="1">
      <c r="A163" s="416"/>
      <c r="B163" s="3790" t="s">
        <v>25</v>
      </c>
      <c r="C163" s="3789"/>
      <c r="D163" s="169"/>
      <c r="E163" s="109">
        <f t="shared" ref="E163:F163" si="65">SUM(E164:E168)</f>
        <v>407150</v>
      </c>
      <c r="F163" s="109">
        <f t="shared" si="65"/>
        <v>407150</v>
      </c>
      <c r="G163" s="110">
        <f t="shared" ref="G163" si="66">SUM(G164:G168)</f>
        <v>407120</v>
      </c>
      <c r="H163" s="379">
        <f t="shared" si="54"/>
        <v>0.9999263170821564</v>
      </c>
      <c r="I163" s="109">
        <f t="shared" ref="I163:J163" si="67">SUM(I164:I168)</f>
        <v>-51000</v>
      </c>
      <c r="J163" s="109">
        <f t="shared" si="67"/>
        <v>356120</v>
      </c>
      <c r="K163" s="47">
        <f t="shared" si="53"/>
        <v>0.87466535674812718</v>
      </c>
      <c r="L163" s="48"/>
    </row>
    <row r="164" spans="1:12" ht="15.75" customHeight="1">
      <c r="A164" s="416"/>
      <c r="B164" s="425"/>
      <c r="C164" s="3851" t="s">
        <v>152</v>
      </c>
      <c r="D164" s="49" t="s">
        <v>43</v>
      </c>
      <c r="E164" s="50">
        <v>9000</v>
      </c>
      <c r="F164" s="51">
        <v>9000</v>
      </c>
      <c r="G164" s="52">
        <v>9000</v>
      </c>
      <c r="H164" s="53">
        <f t="shared" si="54"/>
        <v>1</v>
      </c>
      <c r="I164" s="98">
        <v>0</v>
      </c>
      <c r="J164" s="98">
        <f t="shared" ref="J164:J165" si="68">SUM(G164,I164)</f>
        <v>9000</v>
      </c>
      <c r="K164" s="56">
        <f t="shared" si="53"/>
        <v>1</v>
      </c>
      <c r="L164" s="99"/>
    </row>
    <row r="165" spans="1:12" ht="14.25" customHeight="1">
      <c r="A165" s="416"/>
      <c r="B165" s="426"/>
      <c r="C165" s="3852"/>
      <c r="D165" s="58" t="s">
        <v>29</v>
      </c>
      <c r="E165" s="50">
        <v>150</v>
      </c>
      <c r="F165" s="51">
        <v>150</v>
      </c>
      <c r="G165" s="52">
        <v>120</v>
      </c>
      <c r="H165" s="53">
        <f t="shared" si="54"/>
        <v>0.8</v>
      </c>
      <c r="I165" s="98">
        <v>0</v>
      </c>
      <c r="J165" s="98">
        <f t="shared" si="68"/>
        <v>120</v>
      </c>
      <c r="K165" s="56">
        <f t="shared" si="53"/>
        <v>0.8</v>
      </c>
      <c r="L165" s="99"/>
    </row>
    <row r="166" spans="1:12" ht="76.5" hidden="1" customHeight="1">
      <c r="A166" s="416"/>
      <c r="B166" s="426"/>
      <c r="C166" s="1191" t="s">
        <v>153</v>
      </c>
      <c r="D166" s="60" t="s">
        <v>154</v>
      </c>
      <c r="E166" s="90">
        <v>0</v>
      </c>
      <c r="F166" s="427"/>
      <c r="G166" s="428"/>
      <c r="H166" s="429" t="e">
        <f t="shared" si="54"/>
        <v>#DIV/0!</v>
      </c>
      <c r="I166" s="430"/>
      <c r="J166" s="430"/>
      <c r="K166" s="56" t="e">
        <f t="shared" si="53"/>
        <v>#DIV/0!</v>
      </c>
      <c r="L166" s="432"/>
    </row>
    <row r="167" spans="1:12" s="433" customFormat="1" ht="38.25">
      <c r="A167" s="416"/>
      <c r="B167" s="426"/>
      <c r="C167" s="161" t="s">
        <v>53</v>
      </c>
      <c r="D167" s="248" t="s">
        <v>155</v>
      </c>
      <c r="E167" s="50">
        <v>398000</v>
      </c>
      <c r="F167" s="51">
        <v>398000</v>
      </c>
      <c r="G167" s="52">
        <v>398000</v>
      </c>
      <c r="H167" s="53">
        <f t="shared" si="54"/>
        <v>1</v>
      </c>
      <c r="I167" s="98">
        <v>-51000</v>
      </c>
      <c r="J167" s="98">
        <f t="shared" ref="J167" si="69">SUM(G167,I167)</f>
        <v>347000</v>
      </c>
      <c r="K167" s="56">
        <f t="shared" si="53"/>
        <v>0.87185929648241201</v>
      </c>
      <c r="L167" s="99"/>
    </row>
    <row r="168" spans="1:12" ht="76.5" hidden="1" customHeight="1" thickBot="1">
      <c r="A168" s="416"/>
      <c r="B168" s="434"/>
      <c r="C168" s="435" t="s">
        <v>156</v>
      </c>
      <c r="D168" s="49" t="s">
        <v>157</v>
      </c>
      <c r="E168" s="50">
        <v>0</v>
      </c>
      <c r="F168" s="51"/>
      <c r="G168" s="52"/>
      <c r="H168" s="53" t="e">
        <f t="shared" si="54"/>
        <v>#DIV/0!</v>
      </c>
      <c r="I168" s="98"/>
      <c r="J168" s="98"/>
      <c r="K168" s="56" t="e">
        <f t="shared" si="53"/>
        <v>#DIV/0!</v>
      </c>
      <c r="L168" s="91"/>
    </row>
    <row r="169" spans="1:12" ht="15.75" thickBot="1">
      <c r="A169" s="418"/>
      <c r="B169" s="3766" t="s">
        <v>30</v>
      </c>
      <c r="C169" s="3819"/>
      <c r="D169" s="436"/>
      <c r="E169" s="102">
        <v>0</v>
      </c>
      <c r="F169" s="102">
        <v>0</v>
      </c>
      <c r="G169" s="103">
        <v>0</v>
      </c>
      <c r="H169" s="420"/>
      <c r="I169" s="102">
        <v>0</v>
      </c>
      <c r="J169" s="102">
        <v>0</v>
      </c>
      <c r="K169" s="259"/>
      <c r="L169" s="437"/>
    </row>
    <row r="170" spans="1:12" ht="15.75" hidden="1" thickBot="1">
      <c r="A170" s="416"/>
      <c r="B170" s="438">
        <v>71095</v>
      </c>
      <c r="C170" s="439" t="s">
        <v>50</v>
      </c>
      <c r="D170" s="440"/>
      <c r="E170" s="441">
        <v>0</v>
      </c>
      <c r="F170" s="356"/>
      <c r="G170" s="357"/>
      <c r="H170" s="442" t="e">
        <f t="shared" si="54"/>
        <v>#DIV/0!</v>
      </c>
      <c r="I170" s="61"/>
      <c r="J170" s="61"/>
      <c r="K170" s="56" t="e">
        <f t="shared" si="53"/>
        <v>#DIV/0!</v>
      </c>
      <c r="L170" s="219"/>
    </row>
    <row r="171" spans="1:12" ht="54" hidden="1" customHeight="1" thickBot="1">
      <c r="A171" s="416"/>
      <c r="B171" s="3842" t="s">
        <v>25</v>
      </c>
      <c r="C171" s="3843"/>
      <c r="D171" s="443"/>
      <c r="E171" s="444">
        <v>0</v>
      </c>
      <c r="F171" s="75"/>
      <c r="G171" s="76"/>
      <c r="H171" s="53" t="e">
        <f t="shared" si="54"/>
        <v>#DIV/0!</v>
      </c>
      <c r="I171" s="98"/>
      <c r="J171" s="98"/>
      <c r="K171" s="56" t="e">
        <f t="shared" si="53"/>
        <v>#DIV/0!</v>
      </c>
      <c r="L171" s="91"/>
    </row>
    <row r="172" spans="1:12" ht="57" hidden="1" customHeight="1" thickBot="1">
      <c r="A172" s="416"/>
      <c r="B172" s="445"/>
      <c r="C172" s="1192" t="s">
        <v>53</v>
      </c>
      <c r="D172" s="446">
        <v>2210</v>
      </c>
      <c r="E172" s="447"/>
      <c r="F172" s="75"/>
      <c r="G172" s="76"/>
      <c r="H172" s="53" t="e">
        <f t="shared" si="54"/>
        <v>#DIV/0!</v>
      </c>
      <c r="I172" s="98"/>
      <c r="J172" s="98"/>
      <c r="K172" s="56" t="e">
        <f t="shared" si="53"/>
        <v>#DIV/0!</v>
      </c>
      <c r="L172" s="91"/>
    </row>
    <row r="173" spans="1:12" ht="16.5" hidden="1" customHeight="1" thickBot="1">
      <c r="A173" s="416"/>
      <c r="B173" s="3844" t="s">
        <v>30</v>
      </c>
      <c r="C173" s="3845"/>
      <c r="D173" s="448"/>
      <c r="E173" s="449">
        <v>0</v>
      </c>
      <c r="F173" s="75"/>
      <c r="G173" s="364"/>
      <c r="H173" s="450" t="e">
        <f t="shared" si="54"/>
        <v>#DIV/0!</v>
      </c>
      <c r="I173" s="266"/>
      <c r="J173" s="266"/>
      <c r="K173" s="78" t="e">
        <f t="shared" si="53"/>
        <v>#DIV/0!</v>
      </c>
      <c r="L173" s="79"/>
    </row>
    <row r="174" spans="1:12" s="1" customFormat="1" ht="15.75" thickBot="1">
      <c r="A174" s="234">
        <v>720</v>
      </c>
      <c r="B174" s="236"/>
      <c r="C174" s="451" t="s">
        <v>158</v>
      </c>
      <c r="D174" s="452"/>
      <c r="E174" s="166">
        <f>SUM(E175,)</f>
        <v>4742265</v>
      </c>
      <c r="F174" s="166">
        <f>SUM(F175,)</f>
        <v>4742265</v>
      </c>
      <c r="G174" s="167">
        <f>SUM(G175,)</f>
        <v>4391100</v>
      </c>
      <c r="H174" s="30">
        <f t="shared" si="54"/>
        <v>0.92594994164181044</v>
      </c>
      <c r="I174" s="166">
        <f>SUM(I175,)</f>
        <v>0</v>
      </c>
      <c r="J174" s="166">
        <f>SUM(J175,)</f>
        <v>4391100</v>
      </c>
      <c r="K174" s="31">
        <f t="shared" si="53"/>
        <v>0.92594994164181044</v>
      </c>
      <c r="L174" s="453"/>
    </row>
    <row r="175" spans="1:12" ht="15.75" thickBot="1">
      <c r="A175" s="3846"/>
      <c r="B175" s="239">
        <v>72095</v>
      </c>
      <c r="C175" s="35" t="s">
        <v>50</v>
      </c>
      <c r="D175" s="36"/>
      <c r="E175" s="159">
        <f>SUM(E176,E178)</f>
        <v>4742265</v>
      </c>
      <c r="F175" s="159">
        <f>SUM(F176,F178)</f>
        <v>4742265</v>
      </c>
      <c r="G175" s="160">
        <f>SUM(G176,G178)</f>
        <v>4391100</v>
      </c>
      <c r="H175" s="375">
        <f t="shared" si="54"/>
        <v>0.92594994164181044</v>
      </c>
      <c r="I175" s="159">
        <f>SUM(I176,I178)</f>
        <v>0</v>
      </c>
      <c r="J175" s="159">
        <f>SUM(J176,J178)</f>
        <v>4391100</v>
      </c>
      <c r="K175" s="40">
        <f t="shared" si="53"/>
        <v>0.92594994164181044</v>
      </c>
      <c r="L175" s="135"/>
    </row>
    <row r="176" spans="1:12" s="398" customFormat="1">
      <c r="A176" s="3847"/>
      <c r="B176" s="3759" t="s">
        <v>25</v>
      </c>
      <c r="C176" s="3760"/>
      <c r="D176" s="83"/>
      <c r="E176" s="84">
        <f>SUM(E177:E177)</f>
        <v>4742265</v>
      </c>
      <c r="F176" s="84">
        <f>SUM(F177:F177)</f>
        <v>4742265</v>
      </c>
      <c r="G176" s="85">
        <f>SUM(G177:G177)</f>
        <v>4391100</v>
      </c>
      <c r="H176" s="379">
        <f t="shared" si="54"/>
        <v>0.92594994164181044</v>
      </c>
      <c r="I176" s="84">
        <f>SUM(I177:I177)</f>
        <v>0</v>
      </c>
      <c r="J176" s="84">
        <f>SUM(J177:J177)</f>
        <v>4391100</v>
      </c>
      <c r="K176" s="47">
        <f t="shared" si="53"/>
        <v>0.92594994164181044</v>
      </c>
      <c r="L176" s="139"/>
    </row>
    <row r="177" spans="1:12" ht="51.75" customHeight="1">
      <c r="A177" s="3847"/>
      <c r="B177" s="454"/>
      <c r="C177" s="369" t="s">
        <v>159</v>
      </c>
      <c r="D177" s="49" t="s">
        <v>29</v>
      </c>
      <c r="E177" s="50">
        <v>4742265</v>
      </c>
      <c r="F177" s="51">
        <v>4742265</v>
      </c>
      <c r="G177" s="52">
        <v>4391100</v>
      </c>
      <c r="H177" s="53">
        <f t="shared" si="54"/>
        <v>0.92594994164181044</v>
      </c>
      <c r="I177" s="98">
        <v>0</v>
      </c>
      <c r="J177" s="98">
        <f t="shared" ref="J177" si="70">SUM(G177,I177)</f>
        <v>4391100</v>
      </c>
      <c r="K177" s="56">
        <f t="shared" si="53"/>
        <v>0.92594994164181044</v>
      </c>
      <c r="L177" s="145"/>
    </row>
    <row r="178" spans="1:12" s="1" customFormat="1" ht="15.75" thickBot="1">
      <c r="A178" s="3848"/>
      <c r="B178" s="3766" t="s">
        <v>30</v>
      </c>
      <c r="C178" s="3784"/>
      <c r="D178" s="455"/>
      <c r="E178" s="102">
        <v>0</v>
      </c>
      <c r="F178" s="102">
        <f t="shared" ref="F178" si="71">F179</f>
        <v>0</v>
      </c>
      <c r="G178" s="103">
        <v>0</v>
      </c>
      <c r="H178" s="420"/>
      <c r="I178" s="102">
        <v>0</v>
      </c>
      <c r="J178" s="102">
        <f t="shared" ref="J178" si="72">J179</f>
        <v>0</v>
      </c>
      <c r="K178" s="259"/>
      <c r="L178" s="124"/>
    </row>
    <row r="179" spans="1:12" ht="15.75" hidden="1" thickBot="1">
      <c r="A179" s="456"/>
      <c r="B179" s="457"/>
      <c r="C179" s="458" t="s">
        <v>160</v>
      </c>
      <c r="D179" s="459" t="s">
        <v>161</v>
      </c>
      <c r="E179" s="460">
        <v>0</v>
      </c>
      <c r="F179" s="356"/>
      <c r="G179" s="130"/>
      <c r="H179" s="429" t="e">
        <f t="shared" si="54"/>
        <v>#DIV/0!</v>
      </c>
      <c r="I179" s="430"/>
      <c r="J179" s="431"/>
      <c r="K179" s="78" t="e">
        <f t="shared" si="53"/>
        <v>#DIV/0!</v>
      </c>
      <c r="L179" s="133"/>
    </row>
    <row r="180" spans="1:12" ht="15.75" hidden="1" thickBot="1">
      <c r="A180" s="234">
        <v>730</v>
      </c>
      <c r="B180" s="461"/>
      <c r="C180" s="451" t="s">
        <v>162</v>
      </c>
      <c r="D180" s="236"/>
      <c r="E180" s="166">
        <f>SUM(E181,E192)</f>
        <v>97274</v>
      </c>
      <c r="F180" s="166">
        <f>SUM(F181,F192)</f>
        <v>97274</v>
      </c>
      <c r="G180" s="167">
        <f>SUM(G181,G192)</f>
        <v>0</v>
      </c>
      <c r="H180" s="393">
        <f t="shared" si="54"/>
        <v>0</v>
      </c>
      <c r="I180" s="166">
        <f>SUM(I181,I192)</f>
        <v>0</v>
      </c>
      <c r="J180" s="167">
        <f>SUM(J181,J192)</f>
        <v>0</v>
      </c>
      <c r="K180" s="31">
        <f t="shared" si="53"/>
        <v>0</v>
      </c>
      <c r="L180" s="168"/>
    </row>
    <row r="181" spans="1:12" ht="16.5" hidden="1" customHeight="1" thickBot="1">
      <c r="A181" s="462"/>
      <c r="B181" s="415">
        <v>73016</v>
      </c>
      <c r="C181" s="463" t="s">
        <v>163</v>
      </c>
      <c r="D181" s="36"/>
      <c r="E181" s="159">
        <f t="shared" ref="E181:G181" si="73">SUM(E182,E188)</f>
        <v>0</v>
      </c>
      <c r="F181" s="159">
        <f t="shared" si="73"/>
        <v>0</v>
      </c>
      <c r="G181" s="160">
        <f t="shared" si="73"/>
        <v>0</v>
      </c>
      <c r="H181" s="442" t="e">
        <f t="shared" si="54"/>
        <v>#DIV/0!</v>
      </c>
      <c r="I181" s="159">
        <f t="shared" ref="I181:J181" si="74">SUM(I182,I188)</f>
        <v>0</v>
      </c>
      <c r="J181" s="160">
        <f t="shared" si="74"/>
        <v>0</v>
      </c>
      <c r="K181" s="218" t="e">
        <f t="shared" si="53"/>
        <v>#DIV/0!</v>
      </c>
      <c r="L181" s="135"/>
    </row>
    <row r="182" spans="1:12" ht="20.25" hidden="1" customHeight="1">
      <c r="A182" s="464"/>
      <c r="B182" s="3788" t="s">
        <v>25</v>
      </c>
      <c r="C182" s="3789"/>
      <c r="D182" s="295"/>
      <c r="E182" s="84">
        <f>SUM(E183:E184)</f>
        <v>0</v>
      </c>
      <c r="F182" s="84">
        <f>SUM(F183:F184)</f>
        <v>0</v>
      </c>
      <c r="G182" s="85">
        <f>SUM(G183:G184)</f>
        <v>0</v>
      </c>
      <c r="H182" s="53" t="e">
        <f t="shared" si="54"/>
        <v>#DIV/0!</v>
      </c>
      <c r="I182" s="84">
        <f>SUM(I183:I184)</f>
        <v>0</v>
      </c>
      <c r="J182" s="85">
        <f>SUM(J183:J184)</f>
        <v>0</v>
      </c>
      <c r="K182" s="56" t="e">
        <f t="shared" si="53"/>
        <v>#DIV/0!</v>
      </c>
      <c r="L182" s="139"/>
    </row>
    <row r="183" spans="1:12" ht="22.5" hidden="1" customHeight="1">
      <c r="A183" s="464"/>
      <c r="B183" s="465"/>
      <c r="C183" s="466" t="s">
        <v>164</v>
      </c>
      <c r="D183" s="49" t="s">
        <v>45</v>
      </c>
      <c r="E183" s="467">
        <v>0</v>
      </c>
      <c r="F183" s="51"/>
      <c r="G183" s="52"/>
      <c r="H183" s="53" t="e">
        <f t="shared" si="54"/>
        <v>#DIV/0!</v>
      </c>
      <c r="I183" s="467">
        <v>0</v>
      </c>
      <c r="J183" s="468">
        <v>0</v>
      </c>
      <c r="K183" s="56" t="e">
        <f t="shared" si="53"/>
        <v>#DIV/0!</v>
      </c>
      <c r="L183" s="142"/>
    </row>
    <row r="184" spans="1:12" ht="39" hidden="1" thickBot="1">
      <c r="A184" s="464"/>
      <c r="B184" s="465"/>
      <c r="C184" s="111" t="s">
        <v>165</v>
      </c>
      <c r="D184" s="49" t="s">
        <v>52</v>
      </c>
      <c r="E184" s="467">
        <v>0</v>
      </c>
      <c r="F184" s="51">
        <v>0</v>
      </c>
      <c r="G184" s="52">
        <v>0</v>
      </c>
      <c r="H184" s="53" t="e">
        <f t="shared" si="54"/>
        <v>#DIV/0!</v>
      </c>
      <c r="I184" s="467">
        <v>0</v>
      </c>
      <c r="J184" s="468">
        <v>0</v>
      </c>
      <c r="K184" s="56" t="e">
        <f t="shared" si="53"/>
        <v>#DIV/0!</v>
      </c>
      <c r="L184" s="142"/>
    </row>
    <row r="185" spans="1:12" ht="15.75" hidden="1" thickBot="1">
      <c r="A185" s="469"/>
      <c r="B185" s="3766" t="s">
        <v>30</v>
      </c>
      <c r="C185" s="3784"/>
      <c r="D185" s="455"/>
      <c r="E185" s="102">
        <v>0</v>
      </c>
      <c r="F185" s="102">
        <v>0</v>
      </c>
      <c r="G185" s="103">
        <v>0</v>
      </c>
      <c r="H185" s="53" t="e">
        <f t="shared" si="54"/>
        <v>#DIV/0!</v>
      </c>
      <c r="I185" s="102">
        <v>0</v>
      </c>
      <c r="J185" s="419">
        <v>0</v>
      </c>
      <c r="K185" s="56" t="e">
        <f t="shared" si="53"/>
        <v>#DIV/0!</v>
      </c>
      <c r="L185" s="124"/>
    </row>
    <row r="186" spans="1:12" ht="26.25" hidden="1" thickBot="1">
      <c r="A186" s="464"/>
      <c r="B186" s="470">
        <v>73090</v>
      </c>
      <c r="C186" s="471" t="s">
        <v>166</v>
      </c>
      <c r="D186" s="291"/>
      <c r="E186" s="292">
        <v>0</v>
      </c>
      <c r="F186" s="472">
        <f>SUM(F187,F190)</f>
        <v>0</v>
      </c>
      <c r="G186" s="473">
        <f>SUM(G187,G191)</f>
        <v>0</v>
      </c>
      <c r="H186" s="53" t="e">
        <f t="shared" si="54"/>
        <v>#DIV/0!</v>
      </c>
      <c r="I186" s="292">
        <v>0</v>
      </c>
      <c r="J186" s="293">
        <v>0</v>
      </c>
      <c r="K186" s="56" t="e">
        <f t="shared" si="53"/>
        <v>#DIV/0!</v>
      </c>
      <c r="L186" s="474"/>
    </row>
    <row r="187" spans="1:12" ht="51" hidden="1" customHeight="1">
      <c r="A187" s="464"/>
      <c r="B187" s="3853" t="s">
        <v>25</v>
      </c>
      <c r="C187" s="3822"/>
      <c r="D187" s="295"/>
      <c r="E187" s="475">
        <v>0</v>
      </c>
      <c r="F187" s="109">
        <v>0</v>
      </c>
      <c r="G187" s="110">
        <v>0</v>
      </c>
      <c r="H187" s="53" t="e">
        <f t="shared" si="54"/>
        <v>#DIV/0!</v>
      </c>
      <c r="I187" s="475">
        <v>0</v>
      </c>
      <c r="J187" s="476">
        <v>0</v>
      </c>
      <c r="K187" s="56" t="e">
        <f t="shared" si="53"/>
        <v>#DIV/0!</v>
      </c>
      <c r="L187" s="477"/>
    </row>
    <row r="188" spans="1:12" ht="41.25" hidden="1" customHeight="1">
      <c r="A188" s="462"/>
      <c r="B188" s="3854"/>
      <c r="C188" s="478" t="s">
        <v>167</v>
      </c>
      <c r="D188" s="479" t="s">
        <v>168</v>
      </c>
      <c r="E188" s="480"/>
      <c r="F188" s="481"/>
      <c r="G188" s="482"/>
      <c r="H188" s="53" t="e">
        <f t="shared" si="54"/>
        <v>#DIV/0!</v>
      </c>
      <c r="I188" s="480"/>
      <c r="J188" s="483"/>
      <c r="K188" s="56" t="e">
        <f t="shared" si="53"/>
        <v>#DIV/0!</v>
      </c>
      <c r="L188" s="484"/>
    </row>
    <row r="189" spans="1:12" ht="22.5" hidden="1" customHeight="1">
      <c r="A189" s="464"/>
      <c r="B189" s="3855"/>
      <c r="C189" s="3778" t="s">
        <v>169</v>
      </c>
      <c r="D189" s="49" t="s">
        <v>170</v>
      </c>
      <c r="E189" s="467"/>
      <c r="F189" s="51"/>
      <c r="G189" s="52"/>
      <c r="H189" s="53" t="e">
        <f t="shared" si="54"/>
        <v>#DIV/0!</v>
      </c>
      <c r="I189" s="467"/>
      <c r="J189" s="468"/>
      <c r="K189" s="56" t="e">
        <f t="shared" si="53"/>
        <v>#DIV/0!</v>
      </c>
      <c r="L189" s="142"/>
    </row>
    <row r="190" spans="1:12" ht="22.5" hidden="1" customHeight="1">
      <c r="A190" s="3856"/>
      <c r="B190" s="3855"/>
      <c r="C190" s="3780"/>
      <c r="D190" s="49" t="s">
        <v>171</v>
      </c>
      <c r="E190" s="467"/>
      <c r="F190" s="51"/>
      <c r="G190" s="52"/>
      <c r="H190" s="53" t="e">
        <f t="shared" si="54"/>
        <v>#DIV/0!</v>
      </c>
      <c r="I190" s="467"/>
      <c r="J190" s="468"/>
      <c r="K190" s="56" t="e">
        <f t="shared" si="53"/>
        <v>#DIV/0!</v>
      </c>
      <c r="L190" s="142"/>
    </row>
    <row r="191" spans="1:12" ht="15.75" hidden="1" customHeight="1" thickBot="1">
      <c r="A191" s="3856"/>
      <c r="B191" s="3766" t="s">
        <v>30</v>
      </c>
      <c r="C191" s="3784"/>
      <c r="D191" s="455"/>
      <c r="E191" s="64">
        <v>0</v>
      </c>
      <c r="F191" s="64">
        <v>0</v>
      </c>
      <c r="G191" s="66">
        <v>0</v>
      </c>
      <c r="H191" s="450" t="e">
        <f t="shared" si="54"/>
        <v>#DIV/0!</v>
      </c>
      <c r="I191" s="64">
        <v>0</v>
      </c>
      <c r="J191" s="137">
        <v>0</v>
      </c>
      <c r="K191" s="78" t="e">
        <f t="shared" si="53"/>
        <v>#DIV/0!</v>
      </c>
      <c r="L191" s="477"/>
    </row>
    <row r="192" spans="1:12" ht="15.75" hidden="1" thickBot="1">
      <c r="A192" s="3856"/>
      <c r="B192" s="415">
        <v>73095</v>
      </c>
      <c r="C192" s="463" t="s">
        <v>50</v>
      </c>
      <c r="D192" s="36"/>
      <c r="E192" s="80">
        <f t="shared" ref="E192:G192" si="75">SUM(E193,E198)</f>
        <v>97274</v>
      </c>
      <c r="F192" s="80">
        <f t="shared" si="75"/>
        <v>97274</v>
      </c>
      <c r="G192" s="81">
        <f t="shared" si="75"/>
        <v>0</v>
      </c>
      <c r="H192" s="375">
        <f t="shared" si="54"/>
        <v>0</v>
      </c>
      <c r="I192" s="80">
        <f t="shared" ref="I192:J192" si="76">SUM(I193,I198)</f>
        <v>0</v>
      </c>
      <c r="J192" s="81">
        <f t="shared" si="76"/>
        <v>0</v>
      </c>
      <c r="K192" s="82">
        <f t="shared" si="53"/>
        <v>0</v>
      </c>
      <c r="L192" s="135"/>
    </row>
    <row r="193" spans="1:12" hidden="1">
      <c r="A193" s="3856"/>
      <c r="B193" s="3759" t="s">
        <v>25</v>
      </c>
      <c r="C193" s="3760"/>
      <c r="D193" s="83"/>
      <c r="E193" s="109">
        <f t="shared" ref="E193:F193" si="77">SUM(E194:E197)</f>
        <v>97274</v>
      </c>
      <c r="F193" s="109">
        <f t="shared" si="77"/>
        <v>97274</v>
      </c>
      <c r="G193" s="110">
        <f t="shared" ref="G193" si="78">SUM(G194:G197)</f>
        <v>0</v>
      </c>
      <c r="H193" s="379">
        <f t="shared" si="54"/>
        <v>0</v>
      </c>
      <c r="I193" s="109">
        <f t="shared" ref="I193:J193" si="79">SUM(I194:I197)</f>
        <v>0</v>
      </c>
      <c r="J193" s="110">
        <f t="shared" si="79"/>
        <v>0</v>
      </c>
      <c r="K193" s="47">
        <f t="shared" si="53"/>
        <v>0</v>
      </c>
      <c r="L193" s="139"/>
    </row>
    <row r="194" spans="1:12" ht="63.75" hidden="1" customHeight="1">
      <c r="A194" s="3856"/>
      <c r="B194" s="3761"/>
      <c r="C194" s="92" t="s">
        <v>172</v>
      </c>
      <c r="D194" s="49" t="s">
        <v>170</v>
      </c>
      <c r="E194" s="50"/>
      <c r="F194" s="51"/>
      <c r="G194" s="52"/>
      <c r="H194" s="53" t="e">
        <f t="shared" si="54"/>
        <v>#DIV/0!</v>
      </c>
      <c r="I194" s="98"/>
      <c r="J194" s="55"/>
      <c r="K194" s="56" t="e">
        <f t="shared" si="53"/>
        <v>#DIV/0!</v>
      </c>
      <c r="L194" s="142"/>
    </row>
    <row r="195" spans="1:12" ht="69" hidden="1" customHeight="1">
      <c r="A195" s="3856"/>
      <c r="B195" s="3762"/>
      <c r="C195" s="282" t="s">
        <v>173</v>
      </c>
      <c r="D195" s="3867" t="s">
        <v>174</v>
      </c>
      <c r="E195" s="50">
        <v>97274</v>
      </c>
      <c r="F195" s="51">
        <v>97274</v>
      </c>
      <c r="G195" s="52">
        <v>0</v>
      </c>
      <c r="H195" s="53">
        <f t="shared" si="54"/>
        <v>0</v>
      </c>
      <c r="I195" s="98">
        <v>0</v>
      </c>
      <c r="J195" s="55">
        <f t="shared" ref="J195" si="80">SUM(G195,I195)</f>
        <v>0</v>
      </c>
      <c r="K195" s="56">
        <f t="shared" si="53"/>
        <v>0</v>
      </c>
      <c r="L195" s="145"/>
    </row>
    <row r="196" spans="1:12" ht="52.5" hidden="1" customHeight="1">
      <c r="A196" s="3856"/>
      <c r="B196" s="3762"/>
      <c r="C196" s="282" t="s">
        <v>175</v>
      </c>
      <c r="D196" s="3868"/>
      <c r="E196" s="50"/>
      <c r="F196" s="51"/>
      <c r="G196" s="52"/>
      <c r="H196" s="53" t="e">
        <f t="shared" si="54"/>
        <v>#DIV/0!</v>
      </c>
      <c r="I196" s="98"/>
      <c r="J196" s="55"/>
      <c r="K196" s="56" t="e">
        <f t="shared" si="53"/>
        <v>#DIV/0!</v>
      </c>
      <c r="L196" s="142"/>
    </row>
    <row r="197" spans="1:12" ht="27.75" hidden="1" customHeight="1">
      <c r="A197" s="3856"/>
      <c r="B197" s="3763"/>
      <c r="C197" s="143" t="s">
        <v>176</v>
      </c>
      <c r="D197" s="162">
        <v>2950</v>
      </c>
      <c r="E197" s="50">
        <v>0</v>
      </c>
      <c r="F197" s="51">
        <v>0</v>
      </c>
      <c r="G197" s="52">
        <v>0</v>
      </c>
      <c r="H197" s="53" t="e">
        <f t="shared" si="54"/>
        <v>#DIV/0!</v>
      </c>
      <c r="I197" s="98"/>
      <c r="J197" s="55"/>
      <c r="K197" s="56" t="e">
        <f t="shared" si="53"/>
        <v>#DIV/0!</v>
      </c>
      <c r="L197" s="142"/>
    </row>
    <row r="198" spans="1:12" ht="15.75" hidden="1" thickBot="1">
      <c r="A198" s="3857"/>
      <c r="B198" s="3766" t="s">
        <v>30</v>
      </c>
      <c r="C198" s="3784"/>
      <c r="D198" s="101"/>
      <c r="E198" s="102">
        <v>0</v>
      </c>
      <c r="F198" s="102">
        <v>0</v>
      </c>
      <c r="G198" s="103">
        <v>0</v>
      </c>
      <c r="H198" s="485"/>
      <c r="I198" s="286"/>
      <c r="J198" s="486"/>
      <c r="K198" s="287"/>
      <c r="L198" s="124"/>
    </row>
    <row r="199" spans="1:12" ht="17.25" customHeight="1" thickBot="1">
      <c r="A199" s="234">
        <v>750</v>
      </c>
      <c r="B199" s="461"/>
      <c r="C199" s="451" t="s">
        <v>177</v>
      </c>
      <c r="D199" s="236"/>
      <c r="E199" s="166">
        <f>SUM(E200,E205,E223,E237,E241,E233,E228)</f>
        <v>9841146</v>
      </c>
      <c r="F199" s="166">
        <f>SUM(F200,F205,F223,F237,F241,F233,F228)</f>
        <v>10362593</v>
      </c>
      <c r="G199" s="166">
        <f>SUM(G200,G205,G223,G237,G241,G233,G228)</f>
        <v>6815938</v>
      </c>
      <c r="H199" s="30">
        <f>G199/E199</f>
        <v>0.69259596392533962</v>
      </c>
      <c r="I199" s="166">
        <f>SUM(I200,I205,I223,I237,I241,I233,I228)</f>
        <v>315143</v>
      </c>
      <c r="J199" s="166">
        <f>SUM(J200,J205,J223,J237,J241,J233,J228)</f>
        <v>7131081</v>
      </c>
      <c r="K199" s="31">
        <f t="shared" si="53"/>
        <v>0.68815604356940396</v>
      </c>
      <c r="L199" s="453"/>
    </row>
    <row r="200" spans="1:12" ht="18.75" customHeight="1" thickBot="1">
      <c r="A200" s="487"/>
      <c r="B200" s="301">
        <v>75011</v>
      </c>
      <c r="C200" s="488" t="s">
        <v>178</v>
      </c>
      <c r="D200" s="303"/>
      <c r="E200" s="304">
        <f t="shared" ref="E200:G200" si="81">SUM(E201,E204)</f>
        <v>242526</v>
      </c>
      <c r="F200" s="304">
        <f t="shared" si="81"/>
        <v>242526</v>
      </c>
      <c r="G200" s="305">
        <f t="shared" si="81"/>
        <v>684</v>
      </c>
      <c r="H200" s="375">
        <f t="shared" si="54"/>
        <v>2.8203161722866825E-3</v>
      </c>
      <c r="I200" s="304">
        <f t="shared" ref="I200:J200" si="82">SUM(I201,I204)</f>
        <v>276000</v>
      </c>
      <c r="J200" s="304">
        <f t="shared" si="82"/>
        <v>276684</v>
      </c>
      <c r="K200" s="82">
        <f t="shared" si="53"/>
        <v>1.1408426313055096</v>
      </c>
      <c r="L200" s="306"/>
    </row>
    <row r="201" spans="1:12" ht="15" customHeight="1">
      <c r="A201" s="489"/>
      <c r="B201" s="3859" t="s">
        <v>25</v>
      </c>
      <c r="C201" s="3860"/>
      <c r="D201" s="490"/>
      <c r="E201" s="491">
        <f>SUM(E202:E203)</f>
        <v>242526</v>
      </c>
      <c r="F201" s="491">
        <f>SUM(F202:F203)</f>
        <v>242526</v>
      </c>
      <c r="G201" s="492">
        <f>SUM(G202:G203)</f>
        <v>684</v>
      </c>
      <c r="H201" s="379">
        <f t="shared" si="54"/>
        <v>2.8203161722866825E-3</v>
      </c>
      <c r="I201" s="491">
        <f>SUM(I202:I203)</f>
        <v>276000</v>
      </c>
      <c r="J201" s="491">
        <f>SUM(J202:J203)</f>
        <v>276684</v>
      </c>
      <c r="K201" s="47">
        <f t="shared" si="53"/>
        <v>1.1408426313055096</v>
      </c>
      <c r="L201" s="311"/>
    </row>
    <row r="202" spans="1:12" ht="38.25">
      <c r="A202" s="489"/>
      <c r="B202" s="493"/>
      <c r="C202" s="494" t="s">
        <v>179</v>
      </c>
      <c r="D202" s="347">
        <v>2210</v>
      </c>
      <c r="E202" s="495">
        <v>242000</v>
      </c>
      <c r="F202" s="314">
        <v>242000</v>
      </c>
      <c r="G202" s="370">
        <v>0</v>
      </c>
      <c r="H202" s="53">
        <f t="shared" si="54"/>
        <v>0</v>
      </c>
      <c r="I202" s="98">
        <v>276000</v>
      </c>
      <c r="J202" s="98">
        <f t="shared" ref="J202:J203" si="83">SUM(G202,I202)</f>
        <v>276000</v>
      </c>
      <c r="K202" s="56">
        <f t="shared" ref="K202:K265" si="84">J202/F202</f>
        <v>1.140495867768595</v>
      </c>
      <c r="L202" s="99"/>
    </row>
    <row r="203" spans="1:12" ht="38.25">
      <c r="A203" s="489"/>
      <c r="B203" s="496"/>
      <c r="C203" s="143" t="s">
        <v>64</v>
      </c>
      <c r="D203" s="144">
        <v>2360</v>
      </c>
      <c r="E203" s="50">
        <v>526</v>
      </c>
      <c r="F203" s="51">
        <v>526</v>
      </c>
      <c r="G203" s="52">
        <v>684</v>
      </c>
      <c r="H203" s="53">
        <f t="shared" ref="H203:H273" si="85">G203/E203</f>
        <v>1.3003802281368821</v>
      </c>
      <c r="I203" s="98">
        <v>0</v>
      </c>
      <c r="J203" s="98">
        <f t="shared" si="83"/>
        <v>684</v>
      </c>
      <c r="K203" s="56">
        <f t="shared" si="84"/>
        <v>1.3003802281368821</v>
      </c>
      <c r="L203" s="497"/>
    </row>
    <row r="204" spans="1:12" ht="15" customHeight="1" thickBot="1">
      <c r="A204" s="489"/>
      <c r="B204" s="3861" t="s">
        <v>30</v>
      </c>
      <c r="C204" s="3862"/>
      <c r="D204" s="498"/>
      <c r="E204" s="499">
        <v>0</v>
      </c>
      <c r="F204" s="499">
        <v>0</v>
      </c>
      <c r="G204" s="500">
        <v>0</v>
      </c>
      <c r="H204" s="485"/>
      <c r="I204" s="499">
        <v>0</v>
      </c>
      <c r="J204" s="499">
        <v>0</v>
      </c>
      <c r="K204" s="287"/>
      <c r="L204" s="501"/>
    </row>
    <row r="205" spans="1:12" ht="19.5" customHeight="1" thickBot="1">
      <c r="A205" s="489"/>
      <c r="B205" s="301">
        <v>75018</v>
      </c>
      <c r="C205" s="302" t="s">
        <v>180</v>
      </c>
      <c r="D205" s="303"/>
      <c r="E205" s="304">
        <f t="shared" ref="E205:G205" si="86">SUM(E206,E220)</f>
        <v>240000</v>
      </c>
      <c r="F205" s="304">
        <f t="shared" si="86"/>
        <v>240000</v>
      </c>
      <c r="G205" s="305">
        <f t="shared" si="86"/>
        <v>240180</v>
      </c>
      <c r="H205" s="375">
        <f t="shared" si="85"/>
        <v>1.00075</v>
      </c>
      <c r="I205" s="304">
        <f t="shared" ref="I205:J205" si="87">SUM(I206,I220)</f>
        <v>9880</v>
      </c>
      <c r="J205" s="304">
        <f t="shared" si="87"/>
        <v>250060</v>
      </c>
      <c r="K205" s="82">
        <f t="shared" si="84"/>
        <v>1.0419166666666666</v>
      </c>
      <c r="L205" s="306"/>
    </row>
    <row r="206" spans="1:12" ht="15" customHeight="1">
      <c r="A206" s="489"/>
      <c r="B206" s="3824" t="s">
        <v>25</v>
      </c>
      <c r="C206" s="3825"/>
      <c r="D206" s="502"/>
      <c r="E206" s="491">
        <f>SUM(E207:E219)</f>
        <v>240000</v>
      </c>
      <c r="F206" s="491">
        <f>SUM(F207:F219)</f>
        <v>240000</v>
      </c>
      <c r="G206" s="492">
        <f>SUM(G207:G219)</f>
        <v>240180</v>
      </c>
      <c r="H206" s="379">
        <f t="shared" si="85"/>
        <v>1.00075</v>
      </c>
      <c r="I206" s="491">
        <f>SUM(I207:I219)</f>
        <v>5281</v>
      </c>
      <c r="J206" s="491">
        <f>SUM(J207:J219)</f>
        <v>245461</v>
      </c>
      <c r="K206" s="47">
        <f t="shared" si="84"/>
        <v>1.0227541666666666</v>
      </c>
      <c r="L206" s="503"/>
    </row>
    <row r="207" spans="1:12" ht="16.5" hidden="1" customHeight="1">
      <c r="A207" s="489"/>
      <c r="B207" s="3840"/>
      <c r="C207" s="3869" t="s">
        <v>35</v>
      </c>
      <c r="D207" s="504" t="s">
        <v>140</v>
      </c>
      <c r="E207" s="505">
        <v>0</v>
      </c>
      <c r="F207" s="506">
        <v>0</v>
      </c>
      <c r="G207" s="507">
        <v>0</v>
      </c>
      <c r="H207" s="53"/>
      <c r="I207" s="61"/>
      <c r="J207" s="61"/>
      <c r="K207" s="56" t="e">
        <f t="shared" si="84"/>
        <v>#DIV/0!</v>
      </c>
      <c r="L207" s="508"/>
    </row>
    <row r="208" spans="1:12" ht="16.5" hidden="1" customHeight="1">
      <c r="A208" s="489"/>
      <c r="B208" s="3840"/>
      <c r="C208" s="3869"/>
      <c r="D208" s="312" t="s">
        <v>105</v>
      </c>
      <c r="E208" s="495">
        <v>0</v>
      </c>
      <c r="F208" s="314">
        <v>0</v>
      </c>
      <c r="G208" s="370">
        <v>0</v>
      </c>
      <c r="H208" s="53"/>
      <c r="I208" s="98"/>
      <c r="J208" s="98"/>
      <c r="K208" s="56" t="e">
        <f t="shared" si="84"/>
        <v>#DIV/0!</v>
      </c>
      <c r="L208" s="91"/>
    </row>
    <row r="209" spans="1:12" ht="16.5" hidden="1" customHeight="1">
      <c r="A209" s="489"/>
      <c r="B209" s="3840"/>
      <c r="C209" s="3869"/>
      <c r="D209" s="509" t="s">
        <v>181</v>
      </c>
      <c r="E209" s="495">
        <v>0</v>
      </c>
      <c r="F209" s="314">
        <v>0</v>
      </c>
      <c r="G209" s="370">
        <v>0</v>
      </c>
      <c r="H209" s="53"/>
      <c r="I209" s="98"/>
      <c r="J209" s="98"/>
      <c r="K209" s="56" t="e">
        <f t="shared" si="84"/>
        <v>#DIV/0!</v>
      </c>
      <c r="L209" s="91"/>
    </row>
    <row r="210" spans="1:12" ht="16.5" hidden="1" customHeight="1">
      <c r="A210" s="489"/>
      <c r="B210" s="3840"/>
      <c r="C210" s="3869"/>
      <c r="D210" s="317" t="s">
        <v>43</v>
      </c>
      <c r="E210" s="495"/>
      <c r="F210" s="314"/>
      <c r="G210" s="370"/>
      <c r="H210" s="53" t="e">
        <f t="shared" si="85"/>
        <v>#DIV/0!</v>
      </c>
      <c r="I210" s="98"/>
      <c r="J210" s="98"/>
      <c r="K210" s="56" t="e">
        <f t="shared" si="84"/>
        <v>#DIV/0!</v>
      </c>
      <c r="L210" s="91"/>
    </row>
    <row r="211" spans="1:12" ht="16.5" customHeight="1">
      <c r="A211" s="489"/>
      <c r="B211" s="3840"/>
      <c r="C211" s="3869"/>
      <c r="D211" s="316" t="s">
        <v>27</v>
      </c>
      <c r="E211" s="495">
        <v>100000</v>
      </c>
      <c r="F211" s="314">
        <v>100000</v>
      </c>
      <c r="G211" s="370">
        <v>100000</v>
      </c>
      <c r="H211" s="53">
        <f t="shared" si="85"/>
        <v>1</v>
      </c>
      <c r="I211" s="98">
        <v>0</v>
      </c>
      <c r="J211" s="98">
        <f t="shared" ref="J211:J212" si="88">SUM(G211,I211)</f>
        <v>100000</v>
      </c>
      <c r="K211" s="56">
        <f t="shared" si="84"/>
        <v>1</v>
      </c>
      <c r="L211" s="99"/>
    </row>
    <row r="212" spans="1:12" ht="16.5" customHeight="1">
      <c r="A212" s="489"/>
      <c r="B212" s="3840"/>
      <c r="C212" s="3869"/>
      <c r="D212" s="317" t="s">
        <v>28</v>
      </c>
      <c r="E212" s="495">
        <v>40000</v>
      </c>
      <c r="F212" s="314">
        <v>40000</v>
      </c>
      <c r="G212" s="370">
        <v>40000</v>
      </c>
      <c r="H212" s="53">
        <f t="shared" si="85"/>
        <v>1</v>
      </c>
      <c r="I212" s="98">
        <v>0</v>
      </c>
      <c r="J212" s="98">
        <f t="shared" si="88"/>
        <v>40000</v>
      </c>
      <c r="K212" s="56">
        <f t="shared" si="84"/>
        <v>1</v>
      </c>
      <c r="L212" s="99"/>
    </row>
    <row r="213" spans="1:12" ht="16.5" hidden="1" customHeight="1">
      <c r="A213" s="489"/>
      <c r="B213" s="3840"/>
      <c r="C213" s="3869"/>
      <c r="D213" s="317" t="s">
        <v>45</v>
      </c>
      <c r="E213" s="495">
        <v>0</v>
      </c>
      <c r="F213" s="314">
        <v>0</v>
      </c>
      <c r="G213" s="370">
        <v>0</v>
      </c>
      <c r="H213" s="53"/>
      <c r="I213" s="98"/>
      <c r="J213" s="98"/>
      <c r="K213" s="56" t="e">
        <f t="shared" si="84"/>
        <v>#DIV/0!</v>
      </c>
      <c r="L213" s="99"/>
    </row>
    <row r="214" spans="1:12" ht="16.5" customHeight="1">
      <c r="A214" s="489"/>
      <c r="B214" s="3840"/>
      <c r="C214" s="3869"/>
      <c r="D214" s="317" t="s">
        <v>52</v>
      </c>
      <c r="E214" s="495">
        <v>80000</v>
      </c>
      <c r="F214" s="314">
        <v>80000</v>
      </c>
      <c r="G214" s="370">
        <v>80000</v>
      </c>
      <c r="H214" s="53">
        <f t="shared" si="85"/>
        <v>1</v>
      </c>
      <c r="I214" s="98">
        <v>0</v>
      </c>
      <c r="J214" s="98">
        <f t="shared" ref="J214" si="89">SUM(G214,I214)</f>
        <v>80000</v>
      </c>
      <c r="K214" s="56">
        <f t="shared" si="84"/>
        <v>1</v>
      </c>
      <c r="L214" s="99"/>
    </row>
    <row r="215" spans="1:12" ht="16.5" hidden="1" customHeight="1">
      <c r="A215" s="489"/>
      <c r="B215" s="3840"/>
      <c r="C215" s="3869"/>
      <c r="D215" s="317" t="s">
        <v>36</v>
      </c>
      <c r="E215" s="495">
        <v>0</v>
      </c>
      <c r="F215" s="314">
        <v>0</v>
      </c>
      <c r="G215" s="370">
        <v>0</v>
      </c>
      <c r="H215" s="53"/>
      <c r="I215" s="98"/>
      <c r="J215" s="98"/>
      <c r="K215" s="56" t="e">
        <f t="shared" si="84"/>
        <v>#DIV/0!</v>
      </c>
      <c r="L215" s="99"/>
    </row>
    <row r="216" spans="1:12" ht="14.25" customHeight="1">
      <c r="A216" s="489"/>
      <c r="B216" s="3840"/>
      <c r="C216" s="3869"/>
      <c r="D216" s="510" t="s">
        <v>29</v>
      </c>
      <c r="E216" s="511">
        <v>20000</v>
      </c>
      <c r="F216" s="512">
        <v>20000</v>
      </c>
      <c r="G216" s="513">
        <v>20000</v>
      </c>
      <c r="H216" s="53">
        <f t="shared" si="85"/>
        <v>1</v>
      </c>
      <c r="I216" s="266">
        <v>0</v>
      </c>
      <c r="J216" s="98">
        <f t="shared" ref="J216:J222" si="90">SUM(G216,I216)</f>
        <v>20000</v>
      </c>
      <c r="K216" s="56">
        <f t="shared" si="84"/>
        <v>1</v>
      </c>
      <c r="L216" s="280"/>
    </row>
    <row r="217" spans="1:12" ht="25.5" customHeight="1">
      <c r="A217" s="489"/>
      <c r="B217" s="3840"/>
      <c r="C217" s="161" t="s">
        <v>152</v>
      </c>
      <c r="D217" s="49" t="s">
        <v>29</v>
      </c>
      <c r="E217" s="495">
        <v>0</v>
      </c>
      <c r="F217" s="314">
        <v>0</v>
      </c>
      <c r="G217" s="370">
        <v>180</v>
      </c>
      <c r="H217" s="53"/>
      <c r="I217" s="98">
        <v>0</v>
      </c>
      <c r="J217" s="98">
        <f t="shared" si="90"/>
        <v>180</v>
      </c>
      <c r="K217" s="56"/>
      <c r="L217" s="142"/>
    </row>
    <row r="218" spans="1:12" ht="63.75">
      <c r="A218" s="489"/>
      <c r="B218" s="380"/>
      <c r="C218" s="245" t="s">
        <v>182</v>
      </c>
      <c r="D218" s="58" t="s">
        <v>183</v>
      </c>
      <c r="E218" s="514">
        <v>0</v>
      </c>
      <c r="F218" s="515">
        <v>0</v>
      </c>
      <c r="G218" s="516">
        <v>0</v>
      </c>
      <c r="H218" s="442"/>
      <c r="I218" s="61">
        <v>4451</v>
      </c>
      <c r="J218" s="61">
        <f t="shared" si="90"/>
        <v>4451</v>
      </c>
      <c r="K218" s="218"/>
      <c r="L218" s="142"/>
    </row>
    <row r="219" spans="1:12" ht="63.75">
      <c r="A219" s="489"/>
      <c r="B219" s="517"/>
      <c r="C219" s="161" t="s">
        <v>184</v>
      </c>
      <c r="D219" s="58" t="s">
        <v>185</v>
      </c>
      <c r="E219" s="244">
        <v>0</v>
      </c>
      <c r="F219" s="249">
        <v>0</v>
      </c>
      <c r="G219" s="250">
        <v>0</v>
      </c>
      <c r="H219" s="442"/>
      <c r="I219" s="61">
        <v>830</v>
      </c>
      <c r="J219" s="98">
        <f t="shared" si="90"/>
        <v>830</v>
      </c>
      <c r="K219" s="56"/>
      <c r="L219" s="474"/>
    </row>
    <row r="220" spans="1:12">
      <c r="A220" s="489"/>
      <c r="B220" s="3757" t="s">
        <v>72</v>
      </c>
      <c r="C220" s="3858"/>
      <c r="D220" s="169"/>
      <c r="E220" s="170">
        <f>SUM(E221:E222)</f>
        <v>0</v>
      </c>
      <c r="F220" s="170">
        <f>SUM(F221:F222)</f>
        <v>0</v>
      </c>
      <c r="G220" s="170">
        <f>SUM(G221:G222)</f>
        <v>0</v>
      </c>
      <c r="H220" s="258"/>
      <c r="I220" s="170">
        <f>SUM(I221:I222)</f>
        <v>4599</v>
      </c>
      <c r="J220" s="170">
        <f>SUM(J221:J222)</f>
        <v>4599</v>
      </c>
      <c r="K220" s="259"/>
      <c r="L220" s="139"/>
    </row>
    <row r="221" spans="1:12" ht="63.75">
      <c r="A221" s="489"/>
      <c r="B221" s="285"/>
      <c r="C221" s="161" t="s">
        <v>182</v>
      </c>
      <c r="D221" s="518">
        <v>6257</v>
      </c>
      <c r="E221" s="495">
        <v>0</v>
      </c>
      <c r="F221" s="314">
        <v>0</v>
      </c>
      <c r="G221" s="370">
        <v>0</v>
      </c>
      <c r="H221" s="519"/>
      <c r="I221" s="520">
        <v>3876</v>
      </c>
      <c r="J221" s="98">
        <f t="shared" si="90"/>
        <v>3876</v>
      </c>
      <c r="K221" s="56"/>
      <c r="L221" s="521"/>
    </row>
    <row r="222" spans="1:12" ht="64.5" thickBot="1">
      <c r="A222" s="489"/>
      <c r="B222" s="71"/>
      <c r="C222" s="252" t="s">
        <v>184</v>
      </c>
      <c r="D222" s="406" t="s">
        <v>186</v>
      </c>
      <c r="E222" s="264">
        <v>0</v>
      </c>
      <c r="F222" s="407">
        <v>0</v>
      </c>
      <c r="G222" s="408">
        <v>0</v>
      </c>
      <c r="H222" s="409"/>
      <c r="I222" s="410">
        <v>723</v>
      </c>
      <c r="J222" s="410">
        <f t="shared" si="90"/>
        <v>723</v>
      </c>
      <c r="K222" s="201"/>
      <c r="L222" s="133"/>
    </row>
    <row r="223" spans="1:12" ht="15.75" thickBot="1">
      <c r="A223" s="523"/>
      <c r="B223" s="301">
        <v>75046</v>
      </c>
      <c r="C223" s="302" t="s">
        <v>187</v>
      </c>
      <c r="D223" s="303"/>
      <c r="E223" s="304">
        <f t="shared" ref="E223:G223" si="91">SUM(E224,E227)</f>
        <v>21316</v>
      </c>
      <c r="F223" s="304">
        <f t="shared" si="91"/>
        <v>21316</v>
      </c>
      <c r="G223" s="305">
        <f t="shared" si="91"/>
        <v>21053</v>
      </c>
      <c r="H223" s="375">
        <f t="shared" si="85"/>
        <v>0.98766185025333086</v>
      </c>
      <c r="I223" s="304">
        <f t="shared" ref="I223:J223" si="92">SUM(I224,I227)</f>
        <v>263</v>
      </c>
      <c r="J223" s="304">
        <f t="shared" si="92"/>
        <v>21316</v>
      </c>
      <c r="K223" s="82">
        <f t="shared" si="84"/>
        <v>1</v>
      </c>
      <c r="L223" s="306"/>
    </row>
    <row r="224" spans="1:12">
      <c r="A224" s="523"/>
      <c r="B224" s="3859" t="s">
        <v>25</v>
      </c>
      <c r="C224" s="3860"/>
      <c r="D224" s="490"/>
      <c r="E224" s="491">
        <f t="shared" ref="E224:F224" si="93">SUM(E225:E226)</f>
        <v>21316</v>
      </c>
      <c r="F224" s="491">
        <f t="shared" si="93"/>
        <v>21316</v>
      </c>
      <c r="G224" s="492">
        <f t="shared" ref="G224" si="94">SUM(G225:G226)</f>
        <v>21053</v>
      </c>
      <c r="H224" s="379">
        <f t="shared" si="85"/>
        <v>0.98766185025333086</v>
      </c>
      <c r="I224" s="491">
        <f t="shared" ref="I224:J224" si="95">SUM(I225:I226)</f>
        <v>263</v>
      </c>
      <c r="J224" s="491">
        <f t="shared" si="95"/>
        <v>21316</v>
      </c>
      <c r="K224" s="47">
        <f t="shared" si="84"/>
        <v>1</v>
      </c>
      <c r="L224" s="311"/>
    </row>
    <row r="225" spans="1:12" ht="43.5" customHeight="1">
      <c r="A225" s="523"/>
      <c r="B225" s="524"/>
      <c r="C225" s="494" t="s">
        <v>53</v>
      </c>
      <c r="D225" s="347">
        <v>2210</v>
      </c>
      <c r="E225" s="495">
        <v>20000</v>
      </c>
      <c r="F225" s="314">
        <v>20000</v>
      </c>
      <c r="G225" s="370">
        <v>20000</v>
      </c>
      <c r="H225" s="53">
        <f t="shared" si="85"/>
        <v>1</v>
      </c>
      <c r="I225" s="98">
        <v>0</v>
      </c>
      <c r="J225" s="98">
        <f t="shared" ref="J225:J226" si="96">SUM(G225,I225)</f>
        <v>20000</v>
      </c>
      <c r="K225" s="56">
        <f t="shared" si="84"/>
        <v>1</v>
      </c>
      <c r="L225" s="330"/>
    </row>
    <row r="226" spans="1:12" s="398" customFormat="1" ht="43.5" customHeight="1">
      <c r="A226" s="523"/>
      <c r="B226" s="525"/>
      <c r="C226" s="1163" t="s">
        <v>64</v>
      </c>
      <c r="D226" s="526">
        <v>2360</v>
      </c>
      <c r="E226" s="514">
        <v>1316</v>
      </c>
      <c r="F226" s="344">
        <v>1316</v>
      </c>
      <c r="G226" s="527">
        <v>1053</v>
      </c>
      <c r="H226" s="442">
        <f t="shared" si="85"/>
        <v>0.80015197568389063</v>
      </c>
      <c r="I226" s="61">
        <v>263</v>
      </c>
      <c r="J226" s="98">
        <f t="shared" si="96"/>
        <v>1316</v>
      </c>
      <c r="K226" s="56">
        <f t="shared" si="84"/>
        <v>1</v>
      </c>
      <c r="L226" s="528"/>
    </row>
    <row r="227" spans="1:12" s="398" customFormat="1" ht="15" customHeight="1" thickBot="1">
      <c r="A227" s="523"/>
      <c r="B227" s="3861" t="s">
        <v>30</v>
      </c>
      <c r="C227" s="3862"/>
      <c r="D227" s="498"/>
      <c r="E227" s="499">
        <v>0</v>
      </c>
      <c r="F227" s="499">
        <v>0</v>
      </c>
      <c r="G227" s="529">
        <v>0</v>
      </c>
      <c r="H227" s="387"/>
      <c r="I227" s="499">
        <v>0</v>
      </c>
      <c r="J227" s="499">
        <v>0</v>
      </c>
      <c r="K227" s="287"/>
      <c r="L227" s="530"/>
    </row>
    <row r="228" spans="1:12" s="398" customFormat="1" ht="15" hidden="1" customHeight="1" thickBot="1">
      <c r="A228" s="489"/>
      <c r="B228" s="531">
        <v>75075</v>
      </c>
      <c r="C228" s="532" t="s">
        <v>188</v>
      </c>
      <c r="D228" s="533"/>
      <c r="E228" s="304">
        <f>SUM(E232,E229)</f>
        <v>33900</v>
      </c>
      <c r="F228" s="304">
        <f>SUM(F232,F229)</f>
        <v>33900</v>
      </c>
      <c r="G228" s="534">
        <f>SUM(G232,G229)</f>
        <v>0</v>
      </c>
      <c r="H228" s="535">
        <f t="shared" ref="H228:H231" si="97">G228/F228</f>
        <v>0</v>
      </c>
      <c r="I228" s="304">
        <f>SUM(I232,I229)</f>
        <v>0</v>
      </c>
      <c r="J228" s="304">
        <f>SUM(J232,J229)</f>
        <v>0</v>
      </c>
      <c r="K228" s="82">
        <f t="shared" si="84"/>
        <v>0</v>
      </c>
      <c r="L228" s="536"/>
    </row>
    <row r="229" spans="1:12" s="398" customFormat="1" ht="15" hidden="1" customHeight="1">
      <c r="A229" s="489"/>
      <c r="B229" s="3824" t="s">
        <v>25</v>
      </c>
      <c r="C229" s="3863"/>
      <c r="D229" s="307"/>
      <c r="E229" s="309">
        <f>SUM(E230:E231)</f>
        <v>33900</v>
      </c>
      <c r="F229" s="309">
        <f>SUM(F230:F231)</f>
        <v>33900</v>
      </c>
      <c r="G229" s="537">
        <f>SUM(G230:G231)</f>
        <v>0</v>
      </c>
      <c r="H229" s="538">
        <f t="shared" si="97"/>
        <v>0</v>
      </c>
      <c r="I229" s="309">
        <f>SUM(I230:I231)</f>
        <v>0</v>
      </c>
      <c r="J229" s="309">
        <f>SUM(J230:J231)</f>
        <v>0</v>
      </c>
      <c r="K229" s="47">
        <f t="shared" si="84"/>
        <v>0</v>
      </c>
      <c r="L229" s="539"/>
    </row>
    <row r="230" spans="1:12" ht="82.5" hidden="1" customHeight="1">
      <c r="A230" s="489"/>
      <c r="B230" s="3864"/>
      <c r="C230" s="540" t="s">
        <v>189</v>
      </c>
      <c r="D230" s="509" t="s">
        <v>174</v>
      </c>
      <c r="E230" s="495">
        <v>32000</v>
      </c>
      <c r="F230" s="314">
        <v>32000</v>
      </c>
      <c r="G230" s="541">
        <v>0</v>
      </c>
      <c r="H230" s="542">
        <f t="shared" si="97"/>
        <v>0</v>
      </c>
      <c r="I230" s="543">
        <v>0</v>
      </c>
      <c r="J230" s="98">
        <f t="shared" ref="J230:J231" si="98">SUM(G230,I230)</f>
        <v>0</v>
      </c>
      <c r="K230" s="56">
        <f t="shared" si="84"/>
        <v>0</v>
      </c>
      <c r="L230" s="544"/>
    </row>
    <row r="231" spans="1:12" ht="81.75" hidden="1" customHeight="1">
      <c r="A231" s="489"/>
      <c r="B231" s="3864"/>
      <c r="C231" s="540" t="s">
        <v>190</v>
      </c>
      <c r="D231" s="509" t="s">
        <v>185</v>
      </c>
      <c r="E231" s="495">
        <v>1900</v>
      </c>
      <c r="F231" s="314">
        <v>1900</v>
      </c>
      <c r="G231" s="541">
        <v>0</v>
      </c>
      <c r="H231" s="542">
        <f t="shared" si="97"/>
        <v>0</v>
      </c>
      <c r="I231" s="545">
        <v>0</v>
      </c>
      <c r="J231" s="98">
        <f t="shared" si="98"/>
        <v>0</v>
      </c>
      <c r="K231" s="56">
        <f t="shared" si="84"/>
        <v>0</v>
      </c>
      <c r="L231" s="546"/>
    </row>
    <row r="232" spans="1:12" ht="15" hidden="1" customHeight="1" thickBot="1">
      <c r="A232" s="489"/>
      <c r="B232" s="3865" t="s">
        <v>30</v>
      </c>
      <c r="C232" s="3866"/>
      <c r="D232" s="498"/>
      <c r="E232" s="499">
        <v>0</v>
      </c>
      <c r="F232" s="499">
        <v>0</v>
      </c>
      <c r="G232" s="547">
        <v>0</v>
      </c>
      <c r="H232" s="548"/>
      <c r="I232" s="499">
        <v>0</v>
      </c>
      <c r="J232" s="499">
        <v>0</v>
      </c>
      <c r="K232" s="287"/>
      <c r="L232" s="549"/>
    </row>
    <row r="233" spans="1:12" ht="15" hidden="1" customHeight="1" thickBot="1">
      <c r="A233" s="489"/>
      <c r="B233" s="470">
        <v>75079</v>
      </c>
      <c r="C233" s="550" t="s">
        <v>191</v>
      </c>
      <c r="D233" s="551"/>
      <c r="E233" s="292">
        <f t="shared" ref="E233:G233" si="99">SUM(E234,E236)</f>
        <v>0</v>
      </c>
      <c r="F233" s="292">
        <f t="shared" si="99"/>
        <v>60000</v>
      </c>
      <c r="G233" s="293">
        <f t="shared" si="99"/>
        <v>0</v>
      </c>
      <c r="H233" s="552"/>
      <c r="I233" s="292">
        <f t="shared" ref="I233:J233" si="100">SUM(I234,I236)</f>
        <v>0</v>
      </c>
      <c r="J233" s="292">
        <f t="shared" si="100"/>
        <v>0</v>
      </c>
      <c r="K233" s="82">
        <f t="shared" si="84"/>
        <v>0</v>
      </c>
      <c r="L233" s="294"/>
    </row>
    <row r="234" spans="1:12" ht="15" hidden="1" customHeight="1">
      <c r="A234" s="489"/>
      <c r="B234" s="3759" t="s">
        <v>25</v>
      </c>
      <c r="C234" s="3777"/>
      <c r="D234" s="83"/>
      <c r="E234" s="84">
        <f t="shared" ref="E234:J234" si="101">SUM(E235)</f>
        <v>0</v>
      </c>
      <c r="F234" s="84">
        <f t="shared" si="101"/>
        <v>60000</v>
      </c>
      <c r="G234" s="85">
        <f t="shared" si="101"/>
        <v>0</v>
      </c>
      <c r="H234" s="379"/>
      <c r="I234" s="84">
        <f t="shared" si="101"/>
        <v>0</v>
      </c>
      <c r="J234" s="84">
        <f t="shared" si="101"/>
        <v>0</v>
      </c>
      <c r="K234" s="47">
        <f t="shared" si="84"/>
        <v>0</v>
      </c>
      <c r="L234" s="139"/>
    </row>
    <row r="235" spans="1:12" ht="43.5" hidden="1" customHeight="1">
      <c r="A235" s="489"/>
      <c r="B235" s="553"/>
      <c r="C235" s="554" t="s">
        <v>192</v>
      </c>
      <c r="D235" s="206">
        <v>2220</v>
      </c>
      <c r="E235" s="50">
        <v>0</v>
      </c>
      <c r="F235" s="51">
        <v>60000</v>
      </c>
      <c r="G235" s="52">
        <v>0</v>
      </c>
      <c r="H235" s="53"/>
      <c r="I235" s="98">
        <v>0</v>
      </c>
      <c r="J235" s="98">
        <f t="shared" ref="J235" si="102">SUM(G235,I235)</f>
        <v>0</v>
      </c>
      <c r="K235" s="56">
        <f t="shared" si="84"/>
        <v>0</v>
      </c>
      <c r="L235" s="142"/>
    </row>
    <row r="236" spans="1:12" ht="15" hidden="1" customHeight="1" thickBot="1">
      <c r="A236" s="489"/>
      <c r="B236" s="3873" t="s">
        <v>30</v>
      </c>
      <c r="C236" s="3874"/>
      <c r="D236" s="101"/>
      <c r="E236" s="102">
        <v>0</v>
      </c>
      <c r="F236" s="102">
        <v>0</v>
      </c>
      <c r="G236" s="103">
        <v>0</v>
      </c>
      <c r="H236" s="387"/>
      <c r="I236" s="102">
        <v>0</v>
      </c>
      <c r="J236" s="102">
        <v>0</v>
      </c>
      <c r="K236" s="287"/>
      <c r="L236" s="392"/>
    </row>
    <row r="237" spans="1:12" ht="15" customHeight="1" thickBot="1">
      <c r="A237" s="523"/>
      <c r="B237" s="555">
        <v>75084</v>
      </c>
      <c r="C237" s="556" t="s">
        <v>193</v>
      </c>
      <c r="D237" s="557"/>
      <c r="E237" s="558">
        <f t="shared" ref="E237:G237" si="103">SUM(E238,E240)</f>
        <v>225000</v>
      </c>
      <c r="F237" s="558">
        <f t="shared" si="103"/>
        <v>225000</v>
      </c>
      <c r="G237" s="559">
        <f t="shared" si="103"/>
        <v>225000</v>
      </c>
      <c r="H237" s="375">
        <f t="shared" si="85"/>
        <v>1</v>
      </c>
      <c r="I237" s="558">
        <f t="shared" ref="I237:J237" si="104">SUM(I238,I240)</f>
        <v>29000</v>
      </c>
      <c r="J237" s="558">
        <f t="shared" si="104"/>
        <v>254000</v>
      </c>
      <c r="K237" s="82">
        <f t="shared" si="84"/>
        <v>1.1288888888888888</v>
      </c>
      <c r="L237" s="306"/>
    </row>
    <row r="238" spans="1:12" ht="15" customHeight="1">
      <c r="A238" s="523"/>
      <c r="B238" s="3824" t="s">
        <v>25</v>
      </c>
      <c r="C238" s="3875"/>
      <c r="D238" s="307"/>
      <c r="E238" s="309">
        <f t="shared" ref="E238:G238" si="105">SUM(E239)</f>
        <v>225000</v>
      </c>
      <c r="F238" s="309">
        <f t="shared" si="105"/>
        <v>225000</v>
      </c>
      <c r="G238" s="310">
        <f t="shared" si="105"/>
        <v>225000</v>
      </c>
      <c r="H238" s="379">
        <f t="shared" si="85"/>
        <v>1</v>
      </c>
      <c r="I238" s="309">
        <f t="shared" ref="I238:J238" si="106">SUM(I239)</f>
        <v>29000</v>
      </c>
      <c r="J238" s="309">
        <f t="shared" si="106"/>
        <v>254000</v>
      </c>
      <c r="K238" s="47">
        <f t="shared" si="84"/>
        <v>1.1288888888888888</v>
      </c>
      <c r="L238" s="311"/>
    </row>
    <row r="239" spans="1:12" ht="43.5" customHeight="1">
      <c r="A239" s="523"/>
      <c r="B239" s="560"/>
      <c r="C239" s="561" t="s">
        <v>53</v>
      </c>
      <c r="D239" s="562">
        <v>2210</v>
      </c>
      <c r="E239" s="495">
        <v>225000</v>
      </c>
      <c r="F239" s="314">
        <v>225000</v>
      </c>
      <c r="G239" s="370">
        <v>225000</v>
      </c>
      <c r="H239" s="53">
        <f t="shared" si="85"/>
        <v>1</v>
      </c>
      <c r="I239" s="98">
        <v>29000</v>
      </c>
      <c r="J239" s="98">
        <f t="shared" ref="J239" si="107">SUM(G239,I239)</f>
        <v>254000</v>
      </c>
      <c r="K239" s="56">
        <f t="shared" si="84"/>
        <v>1.1288888888888888</v>
      </c>
      <c r="L239" s="330"/>
    </row>
    <row r="240" spans="1:12" ht="15" customHeight="1" thickBot="1">
      <c r="A240" s="522"/>
      <c r="B240" s="3873" t="s">
        <v>30</v>
      </c>
      <c r="C240" s="3874"/>
      <c r="D240" s="101"/>
      <c r="E240" s="102">
        <v>0</v>
      </c>
      <c r="F240" s="102">
        <v>0</v>
      </c>
      <c r="G240" s="103">
        <v>0</v>
      </c>
      <c r="H240" s="420"/>
      <c r="I240" s="102">
        <v>0</v>
      </c>
      <c r="J240" s="102">
        <v>0</v>
      </c>
      <c r="K240" s="287"/>
      <c r="L240" s="124"/>
    </row>
    <row r="241" spans="1:14" ht="15" customHeight="1" thickBot="1">
      <c r="A241" s="487"/>
      <c r="B241" s="415">
        <v>75095</v>
      </c>
      <c r="C241" s="35" t="s">
        <v>50</v>
      </c>
      <c r="D241" s="563"/>
      <c r="E241" s="80">
        <f t="shared" ref="E241:G241" si="108">SUM(E242,E264)</f>
        <v>9078404</v>
      </c>
      <c r="F241" s="80">
        <f t="shared" si="108"/>
        <v>9539851</v>
      </c>
      <c r="G241" s="81">
        <f t="shared" si="108"/>
        <v>6329021</v>
      </c>
      <c r="H241" s="375">
        <f t="shared" si="85"/>
        <v>0.69715128341942045</v>
      </c>
      <c r="I241" s="80">
        <f t="shared" ref="I241:J241" si="109">SUM(I242,I264)</f>
        <v>0</v>
      </c>
      <c r="J241" s="80">
        <f t="shared" si="109"/>
        <v>6329021</v>
      </c>
      <c r="K241" s="82">
        <f t="shared" si="84"/>
        <v>0.6634297537770768</v>
      </c>
      <c r="L241" s="135"/>
    </row>
    <row r="242" spans="1:14" ht="15" customHeight="1">
      <c r="A242" s="489"/>
      <c r="B242" s="3759" t="s">
        <v>25</v>
      </c>
      <c r="C242" s="3760"/>
      <c r="D242" s="564"/>
      <c r="E242" s="84">
        <f>SUM(E244:E261)</f>
        <v>4128819</v>
      </c>
      <c r="F242" s="84">
        <f>SUM(F244:F261)</f>
        <v>4459955</v>
      </c>
      <c r="G242" s="85">
        <f>SUM(G244:G261)</f>
        <v>5443709</v>
      </c>
      <c r="H242" s="379">
        <f t="shared" si="85"/>
        <v>1.3184663701654153</v>
      </c>
      <c r="I242" s="84">
        <f>SUM(I244:I261)</f>
        <v>0</v>
      </c>
      <c r="J242" s="84">
        <f>SUM(J244:J261)</f>
        <v>5443709</v>
      </c>
      <c r="K242" s="47">
        <f t="shared" si="84"/>
        <v>1.2205748712711226</v>
      </c>
      <c r="L242" s="48"/>
    </row>
    <row r="243" spans="1:14" ht="64.5" hidden="1" customHeight="1">
      <c r="A243" s="489"/>
      <c r="B243" s="270"/>
      <c r="C243" s="565" t="s">
        <v>194</v>
      </c>
      <c r="D243" s="566" t="s">
        <v>154</v>
      </c>
      <c r="E243" s="50">
        <v>0</v>
      </c>
      <c r="F243" s="75"/>
      <c r="G243" s="76"/>
      <c r="H243" s="53" t="e">
        <f t="shared" si="85"/>
        <v>#DIV/0!</v>
      </c>
      <c r="I243" s="98"/>
      <c r="J243" s="98"/>
      <c r="K243" s="56" t="e">
        <f t="shared" si="84"/>
        <v>#DIV/0!</v>
      </c>
      <c r="L243" s="91"/>
    </row>
    <row r="244" spans="1:14" ht="78.75" customHeight="1">
      <c r="A244" s="489"/>
      <c r="B244" s="273"/>
      <c r="C244" s="567" t="s">
        <v>195</v>
      </c>
      <c r="D244" s="3876" t="s">
        <v>196</v>
      </c>
      <c r="E244" s="50">
        <v>662641</v>
      </c>
      <c r="F244" s="51">
        <v>359164</v>
      </c>
      <c r="G244" s="52">
        <v>2775080</v>
      </c>
      <c r="H244" s="53">
        <f t="shared" si="85"/>
        <v>4.1879086866040582</v>
      </c>
      <c r="I244" s="98">
        <v>0</v>
      </c>
      <c r="J244" s="98">
        <f t="shared" ref="J244:J261" si="110">SUM(G244,I244)</f>
        <v>2775080</v>
      </c>
      <c r="K244" s="56">
        <f t="shared" si="84"/>
        <v>7.7264982013787575</v>
      </c>
      <c r="L244" s="99"/>
      <c r="M244" s="246"/>
    </row>
    <row r="245" spans="1:14" ht="63.75" hidden="1">
      <c r="A245" s="489"/>
      <c r="B245" s="273"/>
      <c r="C245" s="567" t="s">
        <v>197</v>
      </c>
      <c r="D245" s="3877"/>
      <c r="E245" s="50">
        <v>136767</v>
      </c>
      <c r="F245" s="51">
        <v>0</v>
      </c>
      <c r="G245" s="52">
        <v>0</v>
      </c>
      <c r="H245" s="53">
        <f t="shared" si="85"/>
        <v>0</v>
      </c>
      <c r="I245" s="98">
        <v>0</v>
      </c>
      <c r="J245" s="98">
        <f t="shared" si="110"/>
        <v>0</v>
      </c>
      <c r="K245" s="56"/>
      <c r="L245" s="99"/>
    </row>
    <row r="246" spans="1:14" ht="49.5" customHeight="1">
      <c r="A246" s="489"/>
      <c r="B246" s="273"/>
      <c r="C246" s="399" t="s">
        <v>198</v>
      </c>
      <c r="D246" s="3870">
        <v>2008</v>
      </c>
      <c r="E246" s="50">
        <v>1402500</v>
      </c>
      <c r="F246" s="51">
        <v>1402500</v>
      </c>
      <c r="G246" s="52">
        <v>620500</v>
      </c>
      <c r="H246" s="53">
        <f t="shared" si="85"/>
        <v>0.44242424242424244</v>
      </c>
      <c r="I246" s="98">
        <v>0</v>
      </c>
      <c r="J246" s="98">
        <f t="shared" si="110"/>
        <v>620500</v>
      </c>
      <c r="K246" s="56">
        <f t="shared" si="84"/>
        <v>0.44242424242424244</v>
      </c>
      <c r="L246" s="276"/>
    </row>
    <row r="247" spans="1:14" ht="61.5" hidden="1" customHeight="1">
      <c r="A247" s="489"/>
      <c r="B247" s="273"/>
      <c r="C247" s="568" t="s">
        <v>199</v>
      </c>
      <c r="D247" s="3871"/>
      <c r="E247" s="50">
        <v>320656</v>
      </c>
      <c r="F247" s="51">
        <v>323536</v>
      </c>
      <c r="G247" s="52">
        <v>0</v>
      </c>
      <c r="H247" s="53">
        <f t="shared" si="85"/>
        <v>0</v>
      </c>
      <c r="I247" s="98">
        <v>0</v>
      </c>
      <c r="J247" s="98">
        <f t="shared" si="110"/>
        <v>0</v>
      </c>
      <c r="K247" s="56">
        <f t="shared" si="84"/>
        <v>0</v>
      </c>
      <c r="L247" s="280"/>
    </row>
    <row r="248" spans="1:14" ht="78.75" hidden="1" customHeight="1">
      <c r="A248" s="489"/>
      <c r="B248" s="273"/>
      <c r="C248" s="570" t="s">
        <v>200</v>
      </c>
      <c r="D248" s="3872"/>
      <c r="E248" s="244">
        <v>28687</v>
      </c>
      <c r="F248" s="249">
        <v>38297</v>
      </c>
      <c r="G248" s="250">
        <v>0</v>
      </c>
      <c r="H248" s="442">
        <f t="shared" si="85"/>
        <v>0</v>
      </c>
      <c r="I248" s="61">
        <v>0</v>
      </c>
      <c r="J248" s="61">
        <f t="shared" si="110"/>
        <v>0</v>
      </c>
      <c r="K248" s="218">
        <f t="shared" si="84"/>
        <v>0</v>
      </c>
      <c r="L248" s="99"/>
    </row>
    <row r="249" spans="1:14" ht="39.75" customHeight="1">
      <c r="A249" s="489"/>
      <c r="B249" s="273"/>
      <c r="C249" s="567" t="s">
        <v>201</v>
      </c>
      <c r="D249" s="3870">
        <v>2009</v>
      </c>
      <c r="E249" s="50">
        <v>247500</v>
      </c>
      <c r="F249" s="51">
        <v>247500</v>
      </c>
      <c r="G249" s="52">
        <v>109500</v>
      </c>
      <c r="H249" s="53">
        <f t="shared" si="85"/>
        <v>0.44242424242424244</v>
      </c>
      <c r="I249" s="98">
        <v>0</v>
      </c>
      <c r="J249" s="98">
        <f t="shared" si="110"/>
        <v>109500</v>
      </c>
      <c r="K249" s="218">
        <f t="shared" si="84"/>
        <v>0.44242424242424244</v>
      </c>
      <c r="L249" s="99"/>
    </row>
    <row r="250" spans="1:14" ht="77.25" customHeight="1" thickBot="1">
      <c r="A250" s="489"/>
      <c r="B250" s="273"/>
      <c r="C250" s="567" t="s">
        <v>202</v>
      </c>
      <c r="D250" s="3871"/>
      <c r="E250" s="50">
        <v>40129</v>
      </c>
      <c r="F250" s="51">
        <v>21751</v>
      </c>
      <c r="G250" s="52">
        <v>168050</v>
      </c>
      <c r="H250" s="53">
        <f t="shared" si="85"/>
        <v>4.1877445239103892</v>
      </c>
      <c r="I250" s="98">
        <v>0</v>
      </c>
      <c r="J250" s="98">
        <f t="shared" si="110"/>
        <v>168050</v>
      </c>
      <c r="K250" s="56">
        <f t="shared" si="84"/>
        <v>7.7260815594685299</v>
      </c>
      <c r="L250" s="99"/>
      <c r="N250" s="246"/>
    </row>
    <row r="251" spans="1:14" ht="51.75" hidden="1" thickBot="1">
      <c r="A251" s="489"/>
      <c r="B251" s="273"/>
      <c r="C251" s="567" t="s">
        <v>203</v>
      </c>
      <c r="D251" s="3871"/>
      <c r="E251" s="50">
        <v>8593</v>
      </c>
      <c r="F251" s="51">
        <v>0</v>
      </c>
      <c r="G251" s="52">
        <v>0</v>
      </c>
      <c r="H251" s="53">
        <f t="shared" si="85"/>
        <v>0</v>
      </c>
      <c r="I251" s="98">
        <v>0</v>
      </c>
      <c r="J251" s="98">
        <f t="shared" si="110"/>
        <v>0</v>
      </c>
      <c r="K251" s="56"/>
      <c r="L251" s="99"/>
    </row>
    <row r="252" spans="1:14" ht="77.25" hidden="1" thickBot="1">
      <c r="A252" s="489"/>
      <c r="B252" s="273"/>
      <c r="C252" s="572" t="s">
        <v>204</v>
      </c>
      <c r="D252" s="3871"/>
      <c r="E252" s="244">
        <v>5062</v>
      </c>
      <c r="F252" s="51">
        <v>6759</v>
      </c>
      <c r="G252" s="52">
        <v>0</v>
      </c>
      <c r="H252" s="53">
        <f t="shared" si="85"/>
        <v>0</v>
      </c>
      <c r="I252" s="98">
        <v>0</v>
      </c>
      <c r="J252" s="98">
        <f t="shared" si="110"/>
        <v>0</v>
      </c>
      <c r="K252" s="56">
        <f t="shared" si="84"/>
        <v>0</v>
      </c>
      <c r="L252" s="99"/>
    </row>
    <row r="253" spans="1:14" ht="66" hidden="1" customHeight="1" thickBot="1">
      <c r="A253" s="489"/>
      <c r="B253" s="273"/>
      <c r="C253" s="572" t="s">
        <v>205</v>
      </c>
      <c r="D253" s="3872"/>
      <c r="E253" s="244">
        <v>56586</v>
      </c>
      <c r="F253" s="249">
        <v>57095</v>
      </c>
      <c r="G253" s="250">
        <v>0</v>
      </c>
      <c r="H253" s="53">
        <f t="shared" si="85"/>
        <v>0</v>
      </c>
      <c r="I253" s="61">
        <v>0</v>
      </c>
      <c r="J253" s="98">
        <f t="shared" si="110"/>
        <v>0</v>
      </c>
      <c r="K253" s="201">
        <f t="shared" si="84"/>
        <v>0</v>
      </c>
      <c r="L253" s="573"/>
    </row>
    <row r="254" spans="1:14" ht="75" customHeight="1">
      <c r="A254" s="489"/>
      <c r="B254" s="273"/>
      <c r="C254" s="572" t="s">
        <v>195</v>
      </c>
      <c r="D254" s="3870">
        <v>2057</v>
      </c>
      <c r="E254" s="244">
        <v>700805</v>
      </c>
      <c r="F254" s="249">
        <v>625189</v>
      </c>
      <c r="G254" s="250">
        <v>94369</v>
      </c>
      <c r="H254" s="442">
        <f t="shared" si="85"/>
        <v>0.13465800044234844</v>
      </c>
      <c r="I254" s="61">
        <v>0</v>
      </c>
      <c r="J254" s="61">
        <f t="shared" si="110"/>
        <v>94369</v>
      </c>
      <c r="K254" s="337">
        <f t="shared" si="84"/>
        <v>0.15094475430629778</v>
      </c>
      <c r="L254" s="575"/>
      <c r="N254" s="246"/>
    </row>
    <row r="255" spans="1:14" ht="63.75">
      <c r="A255" s="489"/>
      <c r="B255" s="273"/>
      <c r="C255" s="576" t="s">
        <v>197</v>
      </c>
      <c r="D255" s="3872"/>
      <c r="E255" s="97">
        <v>357084</v>
      </c>
      <c r="F255" s="400">
        <v>114358</v>
      </c>
      <c r="G255" s="151">
        <v>114358</v>
      </c>
      <c r="H255" s="53">
        <f t="shared" si="85"/>
        <v>0.32025517805334319</v>
      </c>
      <c r="I255" s="266">
        <v>0</v>
      </c>
      <c r="J255" s="98">
        <f t="shared" si="110"/>
        <v>114358</v>
      </c>
      <c r="K255" s="56">
        <f t="shared" si="84"/>
        <v>1</v>
      </c>
      <c r="L255" s="94"/>
    </row>
    <row r="256" spans="1:14" ht="74.25" customHeight="1">
      <c r="A256" s="489"/>
      <c r="B256" s="273"/>
      <c r="C256" s="577" t="s">
        <v>206</v>
      </c>
      <c r="D256" s="3870">
        <v>2058</v>
      </c>
      <c r="E256" s="50">
        <v>0</v>
      </c>
      <c r="F256" s="51">
        <v>1073742</v>
      </c>
      <c r="G256" s="52">
        <v>1400928</v>
      </c>
      <c r="H256" s="53"/>
      <c r="I256" s="98">
        <v>0</v>
      </c>
      <c r="J256" s="98">
        <f t="shared" si="110"/>
        <v>1400928</v>
      </c>
      <c r="K256" s="56">
        <f t="shared" si="84"/>
        <v>1.3047156579513515</v>
      </c>
      <c r="L256" s="99"/>
    </row>
    <row r="257" spans="1:12" ht="66.75" customHeight="1">
      <c r="A257" s="489"/>
      <c r="B257" s="273"/>
      <c r="C257" s="578" t="s">
        <v>207</v>
      </c>
      <c r="D257" s="3872"/>
      <c r="E257" s="50">
        <v>78446</v>
      </c>
      <c r="F257" s="51">
        <v>78446</v>
      </c>
      <c r="G257" s="52">
        <v>129445</v>
      </c>
      <c r="H257" s="53">
        <f t="shared" si="85"/>
        <v>1.6501160033653723</v>
      </c>
      <c r="I257" s="98">
        <v>0</v>
      </c>
      <c r="J257" s="98">
        <f t="shared" si="110"/>
        <v>129445</v>
      </c>
      <c r="K257" s="56">
        <f t="shared" si="84"/>
        <v>1.6501160033653723</v>
      </c>
      <c r="L257" s="99"/>
    </row>
    <row r="258" spans="1:12" ht="76.5" customHeight="1">
      <c r="A258" s="489"/>
      <c r="B258" s="273"/>
      <c r="C258" s="572" t="s">
        <v>208</v>
      </c>
      <c r="D258" s="3871">
        <v>2059</v>
      </c>
      <c r="E258" s="50">
        <v>42439</v>
      </c>
      <c r="F258" s="51">
        <v>37857</v>
      </c>
      <c r="G258" s="52">
        <v>5718</v>
      </c>
      <c r="H258" s="53">
        <f t="shared" si="85"/>
        <v>0.13473456019227598</v>
      </c>
      <c r="I258" s="98">
        <v>0</v>
      </c>
      <c r="J258" s="98">
        <f t="shared" si="110"/>
        <v>5718</v>
      </c>
      <c r="K258" s="56">
        <f t="shared" si="84"/>
        <v>0.15104207940407322</v>
      </c>
      <c r="L258" s="99"/>
    </row>
    <row r="259" spans="1:12" ht="50.25" customHeight="1">
      <c r="A259" s="489"/>
      <c r="B259" s="273"/>
      <c r="C259" s="579" t="s">
        <v>203</v>
      </c>
      <c r="D259" s="3871"/>
      <c r="E259" s="50">
        <v>24924</v>
      </c>
      <c r="F259" s="51">
        <v>7761</v>
      </c>
      <c r="G259" s="52">
        <v>7761</v>
      </c>
      <c r="H259" s="53">
        <f t="shared" si="85"/>
        <v>0.31138661531054407</v>
      </c>
      <c r="I259" s="98">
        <v>0</v>
      </c>
      <c r="J259" s="98">
        <f t="shared" si="110"/>
        <v>7761</v>
      </c>
      <c r="K259" s="56">
        <f t="shared" si="84"/>
        <v>1</v>
      </c>
      <c r="L259" s="99"/>
    </row>
    <row r="260" spans="1:12" ht="63" customHeight="1">
      <c r="A260" s="489"/>
      <c r="B260" s="580"/>
      <c r="C260" s="579" t="s">
        <v>209</v>
      </c>
      <c r="D260" s="3872"/>
      <c r="E260" s="50">
        <v>16000</v>
      </c>
      <c r="F260" s="51">
        <v>16000</v>
      </c>
      <c r="G260" s="52">
        <v>18000</v>
      </c>
      <c r="H260" s="53">
        <f t="shared" si="85"/>
        <v>1.125</v>
      </c>
      <c r="I260" s="98">
        <v>0</v>
      </c>
      <c r="J260" s="98">
        <f t="shared" si="110"/>
        <v>18000</v>
      </c>
      <c r="K260" s="56">
        <f t="shared" si="84"/>
        <v>1.125</v>
      </c>
      <c r="L260" s="145"/>
    </row>
    <row r="261" spans="1:12" ht="37.5" hidden="1" customHeight="1">
      <c r="A261" s="489"/>
      <c r="B261" s="581"/>
      <c r="C261" s="582" t="s">
        <v>210</v>
      </c>
      <c r="D261" s="95">
        <v>2710</v>
      </c>
      <c r="E261" s="244">
        <v>0</v>
      </c>
      <c r="F261" s="51">
        <v>50000</v>
      </c>
      <c r="G261" s="52">
        <v>0</v>
      </c>
      <c r="H261" s="53"/>
      <c r="I261" s="98">
        <v>0</v>
      </c>
      <c r="J261" s="98">
        <f t="shared" si="110"/>
        <v>0</v>
      </c>
      <c r="K261" s="56">
        <f t="shared" si="84"/>
        <v>0</v>
      </c>
      <c r="L261" s="91"/>
    </row>
    <row r="262" spans="1:12" ht="1.5" hidden="1" customHeight="1">
      <c r="A262" s="489"/>
      <c r="B262" s="581"/>
      <c r="C262" s="578" t="s">
        <v>211</v>
      </c>
      <c r="D262" s="93">
        <v>2918</v>
      </c>
      <c r="E262" s="50">
        <v>0</v>
      </c>
      <c r="F262" s="75"/>
      <c r="G262" s="76"/>
      <c r="H262" s="53" t="e">
        <f t="shared" si="85"/>
        <v>#DIV/0!</v>
      </c>
      <c r="I262" s="98"/>
      <c r="J262" s="98"/>
      <c r="K262" s="56" t="e">
        <f t="shared" si="84"/>
        <v>#DIV/0!</v>
      </c>
      <c r="L262" s="91"/>
    </row>
    <row r="263" spans="1:12" ht="9" hidden="1" customHeight="1">
      <c r="A263" s="489"/>
      <c r="B263" s="583"/>
      <c r="C263" s="582" t="s">
        <v>211</v>
      </c>
      <c r="D263" s="95">
        <v>2919</v>
      </c>
      <c r="E263" s="50">
        <v>0</v>
      </c>
      <c r="F263" s="75"/>
      <c r="G263" s="76"/>
      <c r="H263" s="53" t="e">
        <f t="shared" si="85"/>
        <v>#DIV/0!</v>
      </c>
      <c r="I263" s="98"/>
      <c r="J263" s="98"/>
      <c r="K263" s="56" t="e">
        <f t="shared" si="84"/>
        <v>#DIV/0!</v>
      </c>
      <c r="L263" s="91"/>
    </row>
    <row r="264" spans="1:12" s="1" customFormat="1">
      <c r="A264" s="489"/>
      <c r="B264" s="3757" t="s">
        <v>72</v>
      </c>
      <c r="C264" s="3858"/>
      <c r="D264" s="169"/>
      <c r="E264" s="65">
        <f>SUM(E265:E270)</f>
        <v>4949585</v>
      </c>
      <c r="F264" s="65">
        <f>SUM(F265:F270)</f>
        <v>5079896</v>
      </c>
      <c r="G264" s="66">
        <f>SUM(G265:G270)</f>
        <v>885312</v>
      </c>
      <c r="H264" s="258">
        <f t="shared" si="85"/>
        <v>0.17886590491930132</v>
      </c>
      <c r="I264" s="65">
        <f>SUM(I265:I270)</f>
        <v>0</v>
      </c>
      <c r="J264" s="65">
        <f>SUM(J265:J270)</f>
        <v>885312</v>
      </c>
      <c r="K264" s="259">
        <f t="shared" si="84"/>
        <v>0.1742775836355705</v>
      </c>
      <c r="L264" s="70"/>
    </row>
    <row r="265" spans="1:12" s="398" customFormat="1" ht="75" customHeight="1" thickBot="1">
      <c r="A265" s="522"/>
      <c r="B265" s="1164"/>
      <c r="C265" s="1165" t="s">
        <v>195</v>
      </c>
      <c r="D265" s="588">
        <v>6207</v>
      </c>
      <c r="E265" s="254">
        <v>1113013</v>
      </c>
      <c r="F265" s="589">
        <v>333904</v>
      </c>
      <c r="G265" s="197">
        <v>779109</v>
      </c>
      <c r="H265" s="198">
        <f t="shared" si="85"/>
        <v>0.69999991015378971</v>
      </c>
      <c r="I265" s="199">
        <v>0</v>
      </c>
      <c r="J265" s="199">
        <f t="shared" ref="J265:J270" si="111">SUM(G265,I265)</f>
        <v>779109</v>
      </c>
      <c r="K265" s="56">
        <f t="shared" si="84"/>
        <v>2.3333323350424076</v>
      </c>
      <c r="L265" s="99"/>
    </row>
    <row r="266" spans="1:12" ht="78.75" hidden="1" customHeight="1">
      <c r="A266" s="489" t="s">
        <v>212</v>
      </c>
      <c r="B266" s="581"/>
      <c r="C266" s="584" t="s">
        <v>213</v>
      </c>
      <c r="D266" s="569">
        <v>6208</v>
      </c>
      <c r="E266" s="90">
        <v>3132126</v>
      </c>
      <c r="F266" s="427">
        <v>3995406</v>
      </c>
      <c r="G266" s="428">
        <v>0</v>
      </c>
      <c r="H266" s="429">
        <f t="shared" si="85"/>
        <v>0</v>
      </c>
      <c r="I266" s="430">
        <v>0</v>
      </c>
      <c r="J266" s="431">
        <f t="shared" si="111"/>
        <v>0</v>
      </c>
      <c r="K266" s="56">
        <f t="shared" ref="K266:K329" si="112">J266/F266</f>
        <v>0</v>
      </c>
      <c r="L266" s="432"/>
    </row>
    <row r="267" spans="1:12" ht="76.5" hidden="1">
      <c r="A267" s="487"/>
      <c r="B267" s="1166"/>
      <c r="C267" s="1167" t="s">
        <v>214</v>
      </c>
      <c r="D267" s="3891">
        <v>6209</v>
      </c>
      <c r="E267" s="574">
        <v>552728</v>
      </c>
      <c r="F267" s="481">
        <v>705071</v>
      </c>
      <c r="G267" s="482">
        <v>0</v>
      </c>
      <c r="H267" s="335">
        <f t="shared" si="85"/>
        <v>0</v>
      </c>
      <c r="I267" s="336">
        <v>0</v>
      </c>
      <c r="J267" s="336">
        <f t="shared" si="111"/>
        <v>0</v>
      </c>
      <c r="K267" s="56">
        <f t="shared" si="112"/>
        <v>0</v>
      </c>
      <c r="L267" s="99"/>
    </row>
    <row r="268" spans="1:12" ht="77.25" customHeight="1">
      <c r="A268" s="489"/>
      <c r="B268" s="581"/>
      <c r="C268" s="585" t="s">
        <v>215</v>
      </c>
      <c r="D268" s="3872"/>
      <c r="E268" s="50">
        <v>67402</v>
      </c>
      <c r="F268" s="51">
        <v>20221</v>
      </c>
      <c r="G268" s="52">
        <v>47181</v>
      </c>
      <c r="H268" s="53">
        <f t="shared" si="85"/>
        <v>0.69999406545799825</v>
      </c>
      <c r="I268" s="98">
        <v>0</v>
      </c>
      <c r="J268" s="98">
        <f t="shared" si="111"/>
        <v>47181</v>
      </c>
      <c r="K268" s="56">
        <f t="shared" si="112"/>
        <v>2.3332673952821326</v>
      </c>
      <c r="L268" s="99"/>
    </row>
    <row r="269" spans="1:12" ht="78" customHeight="1">
      <c r="A269" s="489"/>
      <c r="B269" s="581"/>
      <c r="C269" s="572" t="s">
        <v>195</v>
      </c>
      <c r="D269" s="571">
        <v>6257</v>
      </c>
      <c r="E269" s="244">
        <v>79501</v>
      </c>
      <c r="F269" s="249">
        <v>23850</v>
      </c>
      <c r="G269" s="250">
        <v>55651</v>
      </c>
      <c r="H269" s="442">
        <f t="shared" si="85"/>
        <v>0.70000377353743981</v>
      </c>
      <c r="I269" s="61">
        <v>0</v>
      </c>
      <c r="J269" s="61">
        <f t="shared" si="111"/>
        <v>55651</v>
      </c>
      <c r="K269" s="218">
        <f t="shared" si="112"/>
        <v>2.3333752620545072</v>
      </c>
      <c r="L269" s="99"/>
    </row>
    <row r="270" spans="1:12" ht="78.75" customHeight="1" thickBot="1">
      <c r="A270" s="522"/>
      <c r="B270" s="586"/>
      <c r="C270" s="587" t="s">
        <v>215</v>
      </c>
      <c r="D270" s="588">
        <v>6259</v>
      </c>
      <c r="E270" s="254">
        <v>4815</v>
      </c>
      <c r="F270" s="589">
        <v>1444</v>
      </c>
      <c r="G270" s="197">
        <v>3371</v>
      </c>
      <c r="H270" s="198">
        <f t="shared" si="85"/>
        <v>0.70010384215991694</v>
      </c>
      <c r="I270" s="199">
        <v>0</v>
      </c>
      <c r="J270" s="199">
        <f t="shared" si="111"/>
        <v>3371</v>
      </c>
      <c r="K270" s="201">
        <f t="shared" si="112"/>
        <v>2.3344875346260388</v>
      </c>
      <c r="L270" s="402"/>
    </row>
    <row r="271" spans="1:12" ht="39" hidden="1" thickBot="1">
      <c r="A271" s="418"/>
      <c r="B271" s="404"/>
      <c r="C271" s="590" t="s">
        <v>216</v>
      </c>
      <c r="D271" s="591">
        <v>6699</v>
      </c>
      <c r="E271" s="118">
        <v>0</v>
      </c>
      <c r="F271" s="356"/>
      <c r="G271" s="130"/>
      <c r="H271" s="429" t="e">
        <f t="shared" si="85"/>
        <v>#DIV/0!</v>
      </c>
      <c r="I271" s="430"/>
      <c r="J271" s="431"/>
      <c r="K271" s="592" t="e">
        <f t="shared" si="112"/>
        <v>#DIV/0!</v>
      </c>
      <c r="L271" s="133"/>
    </row>
    <row r="272" spans="1:12" ht="15.75" hidden="1" thickBot="1">
      <c r="A272" s="593">
        <v>752</v>
      </c>
      <c r="B272" s="594"/>
      <c r="C272" s="595" t="s">
        <v>217</v>
      </c>
      <c r="D272" s="596"/>
      <c r="E272" s="597">
        <f t="shared" ref="E272:J272" si="113">SUM(E273)</f>
        <v>5000</v>
      </c>
      <c r="F272" s="597">
        <f t="shared" si="113"/>
        <v>5000</v>
      </c>
      <c r="G272" s="598">
        <f t="shared" si="113"/>
        <v>0</v>
      </c>
      <c r="H272" s="393">
        <f t="shared" si="85"/>
        <v>0</v>
      </c>
      <c r="I272" s="597">
        <f t="shared" si="113"/>
        <v>0</v>
      </c>
      <c r="J272" s="598">
        <f t="shared" si="113"/>
        <v>0</v>
      </c>
      <c r="K272" s="31">
        <f t="shared" si="112"/>
        <v>0</v>
      </c>
      <c r="L272" s="599"/>
    </row>
    <row r="273" spans="1:12" ht="15" hidden="1" customHeight="1" thickBot="1">
      <c r="A273" s="600"/>
      <c r="B273" s="601">
        <v>75212</v>
      </c>
      <c r="C273" s="602" t="s">
        <v>218</v>
      </c>
      <c r="D273" s="603"/>
      <c r="E273" s="304">
        <f t="shared" ref="E273:G273" si="114">SUM(E274,E276)</f>
        <v>5000</v>
      </c>
      <c r="F273" s="304">
        <f t="shared" si="114"/>
        <v>5000</v>
      </c>
      <c r="G273" s="305">
        <f t="shared" si="114"/>
        <v>0</v>
      </c>
      <c r="H273" s="375">
        <f t="shared" si="85"/>
        <v>0</v>
      </c>
      <c r="I273" s="304">
        <f t="shared" ref="I273:J273" si="115">SUM(I274,I276)</f>
        <v>0</v>
      </c>
      <c r="J273" s="305">
        <f t="shared" si="115"/>
        <v>0</v>
      </c>
      <c r="K273" s="40">
        <f t="shared" si="112"/>
        <v>0</v>
      </c>
      <c r="L273" s="306"/>
    </row>
    <row r="274" spans="1:12" ht="15" hidden="1" customHeight="1">
      <c r="A274" s="604"/>
      <c r="B274" s="3892" t="s">
        <v>25</v>
      </c>
      <c r="C274" s="3892"/>
      <c r="D274" s="605"/>
      <c r="E274" s="491">
        <f t="shared" ref="E274:J274" si="116">SUM(E275)</f>
        <v>5000</v>
      </c>
      <c r="F274" s="491">
        <f t="shared" si="116"/>
        <v>5000</v>
      </c>
      <c r="G274" s="492">
        <f t="shared" si="116"/>
        <v>0</v>
      </c>
      <c r="H274" s="379">
        <f t="shared" ref="H274:H337" si="117">G274/E274</f>
        <v>0</v>
      </c>
      <c r="I274" s="491">
        <f t="shared" si="116"/>
        <v>0</v>
      </c>
      <c r="J274" s="492">
        <f t="shared" si="116"/>
        <v>0</v>
      </c>
      <c r="K274" s="47">
        <f t="shared" si="112"/>
        <v>0</v>
      </c>
      <c r="L274" s="311"/>
    </row>
    <row r="275" spans="1:12" ht="38.25" hidden="1" customHeight="1">
      <c r="A275" s="604"/>
      <c r="B275" s="606"/>
      <c r="C275" s="561" t="s">
        <v>53</v>
      </c>
      <c r="D275" s="607">
        <v>2210</v>
      </c>
      <c r="E275" s="495">
        <v>5000</v>
      </c>
      <c r="F275" s="314">
        <v>5000</v>
      </c>
      <c r="G275" s="370">
        <v>0</v>
      </c>
      <c r="H275" s="53">
        <f t="shared" si="117"/>
        <v>0</v>
      </c>
      <c r="I275" s="98">
        <v>0</v>
      </c>
      <c r="J275" s="55">
        <f t="shared" ref="J275" si="118">SUM(G275,I275)</f>
        <v>0</v>
      </c>
      <c r="K275" s="56">
        <f t="shared" si="112"/>
        <v>0</v>
      </c>
      <c r="L275" s="330"/>
    </row>
    <row r="276" spans="1:12" ht="14.25" hidden="1" customHeight="1" thickBot="1">
      <c r="A276" s="608"/>
      <c r="B276" s="3893" t="s">
        <v>30</v>
      </c>
      <c r="C276" s="3893"/>
      <c r="D276" s="609"/>
      <c r="E276" s="610">
        <v>0</v>
      </c>
      <c r="F276" s="610">
        <v>0</v>
      </c>
      <c r="G276" s="529">
        <v>0</v>
      </c>
      <c r="H276" s="420"/>
      <c r="I276" s="610">
        <v>0</v>
      </c>
      <c r="J276" s="611">
        <v>0</v>
      </c>
      <c r="K276" s="374"/>
      <c r="L276" s="530"/>
    </row>
    <row r="277" spans="1:12" ht="18.75" hidden="1" customHeight="1" thickBot="1">
      <c r="A277" s="612">
        <v>754</v>
      </c>
      <c r="B277" s="613"/>
      <c r="C277" s="614" t="s">
        <v>219</v>
      </c>
      <c r="D277" s="615"/>
      <c r="E277" s="616">
        <v>0</v>
      </c>
      <c r="F277" s="617">
        <f>SUM(F278)</f>
        <v>1752000</v>
      </c>
      <c r="G277" s="618">
        <f>SUM(G278)</f>
        <v>0</v>
      </c>
      <c r="H277" s="393"/>
      <c r="I277" s="616">
        <v>0</v>
      </c>
      <c r="J277" s="618">
        <f>SUM(J278)</f>
        <v>0</v>
      </c>
      <c r="K277" s="31">
        <f t="shared" si="112"/>
        <v>0</v>
      </c>
      <c r="L277" s="619"/>
    </row>
    <row r="278" spans="1:12" ht="15.75" hidden="1" thickBot="1">
      <c r="A278" s="620"/>
      <c r="B278" s="621">
        <v>75421</v>
      </c>
      <c r="C278" s="622" t="s">
        <v>220</v>
      </c>
      <c r="D278" s="623"/>
      <c r="E278" s="624">
        <v>0</v>
      </c>
      <c r="F278" s="624">
        <f>SUM(F282,F279)</f>
        <v>1752000</v>
      </c>
      <c r="G278" s="625">
        <f>SUM(G282,G279)</f>
        <v>0</v>
      </c>
      <c r="H278" s="375"/>
      <c r="I278" s="624">
        <v>0</v>
      </c>
      <c r="J278" s="625">
        <f>SUM(J282,J279)</f>
        <v>0</v>
      </c>
      <c r="K278" s="40">
        <f t="shared" si="112"/>
        <v>0</v>
      </c>
      <c r="L278" s="306"/>
    </row>
    <row r="279" spans="1:12" hidden="1">
      <c r="A279" s="626"/>
      <c r="B279" s="3894" t="s">
        <v>25</v>
      </c>
      <c r="C279" s="3895"/>
      <c r="D279" s="627"/>
      <c r="E279" s="628">
        <v>0</v>
      </c>
      <c r="F279" s="628">
        <f>SUM(F280:F281)</f>
        <v>1752000</v>
      </c>
      <c r="G279" s="629">
        <f>SUM(G280:G281)</f>
        <v>0</v>
      </c>
      <c r="H279" s="379"/>
      <c r="I279" s="628">
        <v>0</v>
      </c>
      <c r="J279" s="629">
        <f>SUM(J280:J281)</f>
        <v>0</v>
      </c>
      <c r="K279" s="47">
        <f t="shared" si="112"/>
        <v>0</v>
      </c>
      <c r="L279" s="311"/>
    </row>
    <row r="280" spans="1:12" ht="38.25" hidden="1">
      <c r="A280" s="630"/>
      <c r="B280" s="3896"/>
      <c r="C280" s="631" t="s">
        <v>221</v>
      </c>
      <c r="D280" s="632">
        <v>2220</v>
      </c>
      <c r="E280" s="495">
        <v>0</v>
      </c>
      <c r="F280" s="314">
        <v>1746000</v>
      </c>
      <c r="G280" s="370">
        <v>0</v>
      </c>
      <c r="H280" s="53"/>
      <c r="I280" s="98">
        <v>0</v>
      </c>
      <c r="J280" s="55">
        <f t="shared" ref="J280:J281" si="119">SUM(G280,I280)</f>
        <v>0</v>
      </c>
      <c r="K280" s="56">
        <f t="shared" si="112"/>
        <v>0</v>
      </c>
      <c r="L280" s="99"/>
    </row>
    <row r="281" spans="1:12" ht="38.25" hidden="1">
      <c r="A281" s="630"/>
      <c r="B281" s="3897"/>
      <c r="C281" s="633" t="s">
        <v>222</v>
      </c>
      <c r="D281" s="607">
        <v>2310</v>
      </c>
      <c r="E281" s="495">
        <v>0</v>
      </c>
      <c r="F281" s="314">
        <v>6000</v>
      </c>
      <c r="G281" s="370">
        <v>0</v>
      </c>
      <c r="H281" s="53"/>
      <c r="I281" s="98">
        <v>0</v>
      </c>
      <c r="J281" s="55">
        <f t="shared" si="119"/>
        <v>0</v>
      </c>
      <c r="K281" s="56">
        <f t="shared" si="112"/>
        <v>0</v>
      </c>
      <c r="L281" s="99"/>
    </row>
    <row r="282" spans="1:12" ht="15.75" hidden="1" thickBot="1">
      <c r="A282" s="634"/>
      <c r="B282" s="3898" t="s">
        <v>30</v>
      </c>
      <c r="C282" s="3899"/>
      <c r="D282" s="609"/>
      <c r="E282" s="635">
        <v>0</v>
      </c>
      <c r="F282" s="635">
        <v>0</v>
      </c>
      <c r="G282" s="529">
        <v>0</v>
      </c>
      <c r="H282" s="420"/>
      <c r="I282" s="635">
        <v>0</v>
      </c>
      <c r="J282" s="636">
        <v>0</v>
      </c>
      <c r="K282" s="287"/>
      <c r="L282" s="530"/>
    </row>
    <row r="283" spans="1:12" ht="38.25" customHeight="1" thickBot="1">
      <c r="A283" s="234">
        <v>756</v>
      </c>
      <c r="B283" s="637"/>
      <c r="C283" s="638" t="s">
        <v>223</v>
      </c>
      <c r="D283" s="27"/>
      <c r="E283" s="166">
        <f>SUM(E284,E290)</f>
        <v>366051292</v>
      </c>
      <c r="F283" s="166">
        <f>SUM(F284,F290)</f>
        <v>366051292</v>
      </c>
      <c r="G283" s="167">
        <f>SUM(G284,G290)</f>
        <v>390183253</v>
      </c>
      <c r="H283" s="393">
        <f t="shared" si="117"/>
        <v>1.0659250807944149</v>
      </c>
      <c r="I283" s="166">
        <f>SUM(I284,I290)</f>
        <v>83815495</v>
      </c>
      <c r="J283" s="166">
        <f>SUM(J284,J290)</f>
        <v>473998748</v>
      </c>
      <c r="K283" s="31">
        <f t="shared" si="112"/>
        <v>1.2948970768828758</v>
      </c>
      <c r="L283" s="639"/>
    </row>
    <row r="284" spans="1:12" ht="29.25" customHeight="1" thickBot="1">
      <c r="A284" s="3878"/>
      <c r="B284" s="301">
        <v>75618</v>
      </c>
      <c r="C284" s="302" t="s">
        <v>224</v>
      </c>
      <c r="D284" s="303"/>
      <c r="E284" s="304">
        <f>SUM(E285,E289)</f>
        <v>5684852</v>
      </c>
      <c r="F284" s="304">
        <f>SUM(F285,F289)</f>
        <v>5684852</v>
      </c>
      <c r="G284" s="305">
        <f>SUM(G285,G289)</f>
        <v>5473123</v>
      </c>
      <c r="H284" s="375">
        <f t="shared" si="117"/>
        <v>0.96275558273108952</v>
      </c>
      <c r="I284" s="304">
        <f>SUM(I285,I289)</f>
        <v>0</v>
      </c>
      <c r="J284" s="304">
        <f>SUM(J285,J289)</f>
        <v>5473123</v>
      </c>
      <c r="K284" s="40">
        <f t="shared" si="112"/>
        <v>0.96275558273108952</v>
      </c>
      <c r="L284" s="306"/>
    </row>
    <row r="285" spans="1:12">
      <c r="A285" s="3879"/>
      <c r="B285" s="3824" t="s">
        <v>25</v>
      </c>
      <c r="C285" s="3875"/>
      <c r="D285" s="640"/>
      <c r="E285" s="491">
        <f>SUM(E286:E288)</f>
        <v>5684852</v>
      </c>
      <c r="F285" s="491">
        <f>SUM(F286:F288)</f>
        <v>5684852</v>
      </c>
      <c r="G285" s="492">
        <f>SUM(G286:G288)</f>
        <v>5473123</v>
      </c>
      <c r="H285" s="379">
        <f t="shared" si="117"/>
        <v>0.96275558273108952</v>
      </c>
      <c r="I285" s="491">
        <f>SUM(I286:I288)</f>
        <v>0</v>
      </c>
      <c r="J285" s="491">
        <f>SUM(J286:J288)</f>
        <v>5473123</v>
      </c>
      <c r="K285" s="47">
        <f t="shared" si="112"/>
        <v>0.96275558273108952</v>
      </c>
      <c r="L285" s="311"/>
    </row>
    <row r="286" spans="1:12" ht="25.5" customHeight="1">
      <c r="A286" s="3879"/>
      <c r="B286" s="3881"/>
      <c r="C286" s="641" t="s">
        <v>225</v>
      </c>
      <c r="D286" s="316" t="s">
        <v>226</v>
      </c>
      <c r="E286" s="495">
        <v>4942352</v>
      </c>
      <c r="F286" s="314">
        <v>4942352</v>
      </c>
      <c r="G286" s="370">
        <v>4896923</v>
      </c>
      <c r="H286" s="53">
        <f t="shared" si="117"/>
        <v>0.99080822248192768</v>
      </c>
      <c r="I286" s="98">
        <v>0</v>
      </c>
      <c r="J286" s="98">
        <f t="shared" ref="J286:J288" si="120">SUM(G286,I286)</f>
        <v>4896923</v>
      </c>
      <c r="K286" s="56">
        <f t="shared" si="112"/>
        <v>0.99080822248192768</v>
      </c>
      <c r="L286" s="330"/>
    </row>
    <row r="287" spans="1:12" ht="25.5">
      <c r="A287" s="3879"/>
      <c r="B287" s="3882"/>
      <c r="C287" s="642" t="s">
        <v>227</v>
      </c>
      <c r="D287" s="317" t="s">
        <v>228</v>
      </c>
      <c r="E287" s="495">
        <v>722500</v>
      </c>
      <c r="F287" s="314">
        <v>722500</v>
      </c>
      <c r="G287" s="370">
        <v>551200</v>
      </c>
      <c r="H287" s="53">
        <f t="shared" si="117"/>
        <v>0.76290657439446363</v>
      </c>
      <c r="I287" s="98">
        <v>0</v>
      </c>
      <c r="J287" s="98">
        <f t="shared" si="120"/>
        <v>551200</v>
      </c>
      <c r="K287" s="56">
        <f t="shared" si="112"/>
        <v>0.76290657439446363</v>
      </c>
      <c r="L287" s="330"/>
    </row>
    <row r="288" spans="1:12" ht="25.5">
      <c r="A288" s="3879"/>
      <c r="B288" s="3883"/>
      <c r="C288" s="643" t="s">
        <v>229</v>
      </c>
      <c r="D288" s="317" t="s">
        <v>29</v>
      </c>
      <c r="E288" s="495">
        <v>20000</v>
      </c>
      <c r="F288" s="314">
        <v>20000</v>
      </c>
      <c r="G288" s="370">
        <v>25000</v>
      </c>
      <c r="H288" s="53">
        <f t="shared" si="117"/>
        <v>1.25</v>
      </c>
      <c r="I288" s="98">
        <v>0</v>
      </c>
      <c r="J288" s="98">
        <f t="shared" si="120"/>
        <v>25000</v>
      </c>
      <c r="K288" s="56">
        <f t="shared" si="112"/>
        <v>1.25</v>
      </c>
      <c r="L288" s="330"/>
    </row>
    <row r="289" spans="1:12" s="398" customFormat="1" ht="15.75" thickBot="1">
      <c r="A289" s="3879"/>
      <c r="B289" s="3884" t="s">
        <v>30</v>
      </c>
      <c r="C289" s="3885"/>
      <c r="D289" s="644"/>
      <c r="E289" s="645">
        <v>0</v>
      </c>
      <c r="F289" s="645">
        <v>0</v>
      </c>
      <c r="G289" s="500">
        <v>0</v>
      </c>
      <c r="H289" s="387"/>
      <c r="I289" s="388">
        <v>0</v>
      </c>
      <c r="J289" s="388">
        <v>0</v>
      </c>
      <c r="K289" s="287"/>
      <c r="L289" s="501"/>
    </row>
    <row r="290" spans="1:12" ht="26.25" thickBot="1">
      <c r="A290" s="3879"/>
      <c r="B290" s="555">
        <v>75623</v>
      </c>
      <c r="C290" s="646" t="s">
        <v>230</v>
      </c>
      <c r="D290" s="647"/>
      <c r="E290" s="648">
        <f t="shared" ref="E290:J290" si="121">SUM(E291,E294)</f>
        <v>360366440</v>
      </c>
      <c r="F290" s="648">
        <f t="shared" si="121"/>
        <v>360366440</v>
      </c>
      <c r="G290" s="648">
        <f t="shared" si="121"/>
        <v>384710130</v>
      </c>
      <c r="H290" s="375">
        <f t="shared" si="117"/>
        <v>1.0675526000700841</v>
      </c>
      <c r="I290" s="648">
        <f t="shared" si="121"/>
        <v>83815495</v>
      </c>
      <c r="J290" s="648">
        <f t="shared" si="121"/>
        <v>468525625</v>
      </c>
      <c r="K290" s="82">
        <f t="shared" si="112"/>
        <v>1.3001366747691601</v>
      </c>
      <c r="L290" s="306"/>
    </row>
    <row r="291" spans="1:12">
      <c r="A291" s="3879"/>
      <c r="B291" s="3886" t="s">
        <v>25</v>
      </c>
      <c r="C291" s="3859"/>
      <c r="D291" s="650"/>
      <c r="E291" s="491">
        <f t="shared" ref="E291:F291" si="122">SUM(E292:E293)</f>
        <v>360366440</v>
      </c>
      <c r="F291" s="491">
        <f t="shared" si="122"/>
        <v>360366440</v>
      </c>
      <c r="G291" s="492">
        <f t="shared" ref="G291" si="123">SUM(G292:G293)</f>
        <v>384710130</v>
      </c>
      <c r="H291" s="379">
        <f t="shared" si="117"/>
        <v>1.0675526000700841</v>
      </c>
      <c r="I291" s="110">
        <f>SUM(I292:I293)</f>
        <v>83815495</v>
      </c>
      <c r="J291" s="84">
        <f>SUM(J292:J293)</f>
        <v>468525625</v>
      </c>
      <c r="K291" s="47">
        <f t="shared" si="112"/>
        <v>1.3001366747691601</v>
      </c>
      <c r="L291" s="311"/>
    </row>
    <row r="292" spans="1:12" ht="27" customHeight="1">
      <c r="A292" s="3879"/>
      <c r="B292" s="3887"/>
      <c r="C292" s="642" t="s">
        <v>231</v>
      </c>
      <c r="D292" s="317" t="s">
        <v>232</v>
      </c>
      <c r="E292" s="495">
        <v>63633885</v>
      </c>
      <c r="F292" s="314">
        <v>63633885</v>
      </c>
      <c r="G292" s="52">
        <v>67770088</v>
      </c>
      <c r="H292" s="53">
        <f t="shared" si="117"/>
        <v>1.0650000074645765</v>
      </c>
      <c r="I292" s="98">
        <v>-6891104</v>
      </c>
      <c r="J292" s="61">
        <f>SUM(G292,I292)</f>
        <v>60878984</v>
      </c>
      <c r="K292" s="56">
        <f t="shared" si="112"/>
        <v>0.95670701230955801</v>
      </c>
      <c r="L292" s="145"/>
    </row>
    <row r="293" spans="1:12" ht="24" customHeight="1">
      <c r="A293" s="3879"/>
      <c r="B293" s="3888"/>
      <c r="C293" s="642" t="s">
        <v>233</v>
      </c>
      <c r="D293" s="317" t="s">
        <v>234</v>
      </c>
      <c r="E293" s="495">
        <v>296732555</v>
      </c>
      <c r="F293" s="314">
        <v>296732555</v>
      </c>
      <c r="G293" s="52">
        <v>316940042</v>
      </c>
      <c r="H293" s="53">
        <f t="shared" si="117"/>
        <v>1.0681000000151653</v>
      </c>
      <c r="I293" s="98">
        <v>90706599</v>
      </c>
      <c r="J293" s="98">
        <f>SUM(G293,I293)</f>
        <v>407646641</v>
      </c>
      <c r="K293" s="56">
        <f t="shared" si="112"/>
        <v>1.3737846897183223</v>
      </c>
      <c r="L293" s="145"/>
    </row>
    <row r="294" spans="1:12" ht="16.5" customHeight="1" thickBot="1">
      <c r="A294" s="3880"/>
      <c r="B294" s="3889" t="s">
        <v>30</v>
      </c>
      <c r="C294" s="3890"/>
      <c r="D294" s="498"/>
      <c r="E294" s="610">
        <v>0</v>
      </c>
      <c r="F294" s="610">
        <v>0</v>
      </c>
      <c r="G294" s="529">
        <v>0</v>
      </c>
      <c r="H294" s="420"/>
      <c r="I294" s="692">
        <v>0</v>
      </c>
      <c r="J294" s="692">
        <v>0</v>
      </c>
      <c r="K294" s="287"/>
      <c r="L294" s="501"/>
    </row>
    <row r="295" spans="1:12" s="1" customFormat="1" ht="20.25" customHeight="1" thickBot="1">
      <c r="A295" s="651">
        <v>758</v>
      </c>
      <c r="B295" s="652"/>
      <c r="C295" s="653" t="s">
        <v>235</v>
      </c>
      <c r="D295" s="654"/>
      <c r="E295" s="28">
        <f>SUM(E296,E300,E306,E310,E319,E323,E327,E342,E354)</f>
        <v>699921307</v>
      </c>
      <c r="F295" s="28">
        <f t="shared" ref="F295:J295" si="124">SUM(F296,F300,F306,F310,F319,F323,F327,F342,F354)</f>
        <v>723586930</v>
      </c>
      <c r="G295" s="28">
        <f t="shared" si="124"/>
        <v>747429032</v>
      </c>
      <c r="H295" s="393">
        <f t="shared" si="117"/>
        <v>1.067875809072919</v>
      </c>
      <c r="I295" s="28">
        <f t="shared" si="124"/>
        <v>245316791</v>
      </c>
      <c r="J295" s="166">
        <f t="shared" si="124"/>
        <v>992745823</v>
      </c>
      <c r="K295" s="31">
        <f t="shared" si="112"/>
        <v>1.3719786550041748</v>
      </c>
      <c r="L295" s="168"/>
    </row>
    <row r="296" spans="1:12" ht="30" customHeight="1" thickBot="1">
      <c r="A296" s="655"/>
      <c r="B296" s="601">
        <v>75801</v>
      </c>
      <c r="C296" s="602" t="s">
        <v>236</v>
      </c>
      <c r="D296" s="656"/>
      <c r="E296" s="304">
        <f t="shared" ref="E296:G296" si="125">SUM(E297,E299)</f>
        <v>33847979</v>
      </c>
      <c r="F296" s="304">
        <f t="shared" si="125"/>
        <v>34662120</v>
      </c>
      <c r="G296" s="160">
        <f t="shared" si="125"/>
        <v>33847979</v>
      </c>
      <c r="H296" s="375">
        <f t="shared" si="117"/>
        <v>1</v>
      </c>
      <c r="I296" s="160">
        <f t="shared" ref="I296:J296" si="126">SUM(I297,I299)</f>
        <v>3096508</v>
      </c>
      <c r="J296" s="159">
        <f t="shared" si="126"/>
        <v>36944487</v>
      </c>
      <c r="K296" s="82">
        <f t="shared" si="112"/>
        <v>1.0658461455906332</v>
      </c>
      <c r="L296" s="135"/>
    </row>
    <row r="297" spans="1:12" ht="16.5" customHeight="1">
      <c r="A297" s="657"/>
      <c r="B297" s="3892" t="s">
        <v>25</v>
      </c>
      <c r="C297" s="3892"/>
      <c r="D297" s="658"/>
      <c r="E297" s="491">
        <f t="shared" ref="E297:J297" si="127">SUM(E298)</f>
        <v>33847979</v>
      </c>
      <c r="F297" s="491">
        <f t="shared" si="127"/>
        <v>34662120</v>
      </c>
      <c r="G297" s="110">
        <f t="shared" si="127"/>
        <v>33847979</v>
      </c>
      <c r="H297" s="379">
        <f t="shared" si="117"/>
        <v>1</v>
      </c>
      <c r="I297" s="110">
        <f t="shared" si="127"/>
        <v>3096508</v>
      </c>
      <c r="J297" s="84">
        <f t="shared" si="127"/>
        <v>36944487</v>
      </c>
      <c r="K297" s="47">
        <f t="shared" si="112"/>
        <v>1.0658461455906332</v>
      </c>
      <c r="L297" s="139"/>
    </row>
    <row r="298" spans="1:12" ht="24.75" customHeight="1">
      <c r="A298" s="657"/>
      <c r="B298" s="606"/>
      <c r="C298" s="633" t="s">
        <v>237</v>
      </c>
      <c r="D298" s="607">
        <v>2920</v>
      </c>
      <c r="E298" s="495">
        <v>33847979</v>
      </c>
      <c r="F298" s="314">
        <v>34662120</v>
      </c>
      <c r="G298" s="52">
        <v>33847979</v>
      </c>
      <c r="H298" s="53">
        <f t="shared" si="117"/>
        <v>1</v>
      </c>
      <c r="I298" s="98">
        <v>3096508</v>
      </c>
      <c r="J298" s="61">
        <f>SUM(G298,I298)</f>
        <v>36944487</v>
      </c>
      <c r="K298" s="56">
        <f t="shared" si="112"/>
        <v>1.0658461455906332</v>
      </c>
      <c r="L298" s="145"/>
    </row>
    <row r="299" spans="1:12" ht="15.75" thickBot="1">
      <c r="A299" s="657"/>
      <c r="B299" s="3907" t="s">
        <v>30</v>
      </c>
      <c r="C299" s="3907"/>
      <c r="D299" s="659"/>
      <c r="E299" s="645">
        <v>0</v>
      </c>
      <c r="F299" s="645">
        <v>0</v>
      </c>
      <c r="G299" s="164">
        <v>0</v>
      </c>
      <c r="H299" s="387"/>
      <c r="I299" s="388">
        <v>0</v>
      </c>
      <c r="J299" s="388">
        <v>0</v>
      </c>
      <c r="K299" s="287"/>
      <c r="L299" s="392"/>
    </row>
    <row r="300" spans="1:12" ht="26.25" hidden="1" customHeight="1" thickBot="1">
      <c r="A300" s="657"/>
      <c r="B300" s="660">
        <v>75802</v>
      </c>
      <c r="C300" s="661" t="s">
        <v>238</v>
      </c>
      <c r="D300" s="662"/>
      <c r="E300" s="80">
        <f>SUM(E301,E304)</f>
        <v>0</v>
      </c>
      <c r="F300" s="80">
        <f>SUM(F301,F304)</f>
        <v>2500000</v>
      </c>
      <c r="G300" s="80">
        <f>SUM(G301,G304)</f>
        <v>0</v>
      </c>
      <c r="H300" s="663"/>
      <c r="I300" s="80">
        <f>SUM(I301,I304)</f>
        <v>0</v>
      </c>
      <c r="J300" s="80">
        <f>SUM(J301,J304)</f>
        <v>0</v>
      </c>
      <c r="K300" s="82">
        <f t="shared" si="112"/>
        <v>0</v>
      </c>
      <c r="L300" s="41"/>
    </row>
    <row r="301" spans="1:12" ht="15.75" hidden="1" customHeight="1">
      <c r="A301" s="657"/>
      <c r="B301" s="3908" t="s">
        <v>98</v>
      </c>
      <c r="C301" s="3909"/>
      <c r="D301" s="664"/>
      <c r="E301" s="84">
        <v>0</v>
      </c>
      <c r="F301" s="84">
        <v>0</v>
      </c>
      <c r="G301" s="84">
        <f t="shared" ref="G301" si="128">SUM(G302)</f>
        <v>0</v>
      </c>
      <c r="H301" s="379"/>
      <c r="I301" s="84">
        <v>0</v>
      </c>
      <c r="J301" s="84">
        <v>0</v>
      </c>
      <c r="K301" s="47"/>
      <c r="L301" s="665"/>
    </row>
    <row r="302" spans="1:12" ht="39" hidden="1" customHeight="1">
      <c r="A302" s="657"/>
      <c r="B302" s="3910"/>
      <c r="C302" s="666" t="s">
        <v>239</v>
      </c>
      <c r="D302" s="667">
        <v>2770</v>
      </c>
      <c r="E302" s="668">
        <v>0</v>
      </c>
      <c r="F302" s="668">
        <v>0</v>
      </c>
      <c r="G302" s="257"/>
      <c r="H302" s="669"/>
      <c r="I302" s="668">
        <v>0</v>
      </c>
      <c r="J302" s="668">
        <v>0</v>
      </c>
      <c r="K302" s="259" t="e">
        <f t="shared" si="112"/>
        <v>#DIV/0!</v>
      </c>
      <c r="L302" s="670"/>
    </row>
    <row r="303" spans="1:12" ht="39" hidden="1" customHeight="1">
      <c r="A303" s="657"/>
      <c r="B303" s="3911"/>
      <c r="C303" s="671" t="s">
        <v>240</v>
      </c>
      <c r="D303" s="672">
        <v>2920</v>
      </c>
      <c r="E303" s="673">
        <v>0</v>
      </c>
      <c r="F303" s="673">
        <v>0</v>
      </c>
      <c r="G303" s="257"/>
      <c r="H303" s="669"/>
      <c r="I303" s="673">
        <v>0</v>
      </c>
      <c r="J303" s="673">
        <v>0</v>
      </c>
      <c r="K303" s="259" t="e">
        <f t="shared" si="112"/>
        <v>#DIV/0!</v>
      </c>
      <c r="L303" s="670"/>
    </row>
    <row r="304" spans="1:12" ht="15.75" hidden="1" customHeight="1">
      <c r="A304" s="657"/>
      <c r="B304" s="3912" t="s">
        <v>72</v>
      </c>
      <c r="C304" s="3913"/>
      <c r="D304" s="674"/>
      <c r="E304" s="170">
        <f>SUM(E305)</f>
        <v>0</v>
      </c>
      <c r="F304" s="170">
        <f>SUM(F305)</f>
        <v>2500000</v>
      </c>
      <c r="G304" s="170">
        <f>SUM(G305)</f>
        <v>0</v>
      </c>
      <c r="H304" s="379"/>
      <c r="I304" s="170">
        <f>SUM(I305)</f>
        <v>0</v>
      </c>
      <c r="J304" s="170">
        <f>SUM(J305)</f>
        <v>0</v>
      </c>
      <c r="K304" s="259">
        <f t="shared" si="112"/>
        <v>0</v>
      </c>
      <c r="L304" s="670"/>
    </row>
    <row r="305" spans="1:12" ht="45.75" hidden="1" customHeight="1" thickBot="1">
      <c r="A305" s="657"/>
      <c r="B305" s="675"/>
      <c r="C305" s="676" t="s">
        <v>241</v>
      </c>
      <c r="D305" s="677">
        <v>6180</v>
      </c>
      <c r="E305" s="97">
        <v>0</v>
      </c>
      <c r="F305" s="400">
        <v>2500000</v>
      </c>
      <c r="G305" s="151">
        <v>0</v>
      </c>
      <c r="H305" s="678"/>
      <c r="I305" s="266">
        <v>0</v>
      </c>
      <c r="J305" s="61">
        <f>SUM(G305,I305)</f>
        <v>0</v>
      </c>
      <c r="K305" s="78">
        <f t="shared" si="112"/>
        <v>0</v>
      </c>
      <c r="L305" s="79"/>
    </row>
    <row r="306" spans="1:12" ht="15.75" thickBot="1">
      <c r="A306" s="657"/>
      <c r="B306" s="601">
        <v>75804</v>
      </c>
      <c r="C306" s="602" t="s">
        <v>242</v>
      </c>
      <c r="D306" s="603"/>
      <c r="E306" s="648">
        <f t="shared" ref="E306:G306" si="129">SUM(E307,E309)</f>
        <v>269187523</v>
      </c>
      <c r="F306" s="648">
        <f t="shared" si="129"/>
        <v>269187523</v>
      </c>
      <c r="G306" s="81">
        <f t="shared" si="129"/>
        <v>208764447</v>
      </c>
      <c r="H306" s="375">
        <f t="shared" si="117"/>
        <v>0.77553537650405879</v>
      </c>
      <c r="I306" s="81">
        <f t="shared" ref="I306:J306" si="130">SUM(I307,I309)</f>
        <v>176265879</v>
      </c>
      <c r="J306" s="80">
        <f t="shared" si="130"/>
        <v>385030326</v>
      </c>
      <c r="K306" s="82">
        <f t="shared" si="112"/>
        <v>1.4303423936925932</v>
      </c>
      <c r="L306" s="135"/>
    </row>
    <row r="307" spans="1:12">
      <c r="A307" s="657"/>
      <c r="B307" s="3892" t="s">
        <v>25</v>
      </c>
      <c r="C307" s="3892"/>
      <c r="D307" s="605"/>
      <c r="E307" s="491">
        <f t="shared" ref="E307:G307" si="131">SUM(E308)</f>
        <v>269187523</v>
      </c>
      <c r="F307" s="491">
        <f t="shared" si="131"/>
        <v>269187523</v>
      </c>
      <c r="G307" s="110">
        <f t="shared" si="131"/>
        <v>208764447</v>
      </c>
      <c r="H307" s="379">
        <f t="shared" si="117"/>
        <v>0.77553537650405879</v>
      </c>
      <c r="I307" s="110">
        <f t="shared" ref="I307:J307" si="132">SUM(I308)</f>
        <v>176265879</v>
      </c>
      <c r="J307" s="84">
        <f t="shared" si="132"/>
        <v>385030326</v>
      </c>
      <c r="K307" s="47">
        <f t="shared" si="112"/>
        <v>1.4303423936925932</v>
      </c>
      <c r="L307" s="679"/>
    </row>
    <row r="308" spans="1:12" ht="24" customHeight="1">
      <c r="A308" s="657"/>
      <c r="B308" s="680"/>
      <c r="C308" s="681" t="s">
        <v>237</v>
      </c>
      <c r="D308" s="682">
        <v>2920</v>
      </c>
      <c r="E308" s="495">
        <v>269187523</v>
      </c>
      <c r="F308" s="314">
        <v>269187523</v>
      </c>
      <c r="G308" s="52">
        <v>208764447</v>
      </c>
      <c r="H308" s="53">
        <f t="shared" si="117"/>
        <v>0.77553537650405879</v>
      </c>
      <c r="I308" s="98">
        <v>176265879</v>
      </c>
      <c r="J308" s="61">
        <f>SUM(G308,I308)</f>
        <v>385030326</v>
      </c>
      <c r="K308" s="56">
        <f t="shared" si="112"/>
        <v>1.4303423936925932</v>
      </c>
      <c r="L308" s="145"/>
    </row>
    <row r="309" spans="1:12" ht="15.75" thickBot="1">
      <c r="A309" s="657"/>
      <c r="B309" s="3900" t="s">
        <v>30</v>
      </c>
      <c r="C309" s="3893"/>
      <c r="D309" s="609"/>
      <c r="E309" s="683">
        <v>0</v>
      </c>
      <c r="F309" s="684">
        <v>0</v>
      </c>
      <c r="G309" s="529">
        <v>0</v>
      </c>
      <c r="H309" s="420"/>
      <c r="I309" s="388">
        <v>0</v>
      </c>
      <c r="J309" s="388">
        <v>0</v>
      </c>
      <c r="K309" s="287"/>
      <c r="L309" s="530"/>
    </row>
    <row r="310" spans="1:12" ht="15.75" thickBot="1">
      <c r="A310" s="657"/>
      <c r="B310" s="685">
        <v>75814</v>
      </c>
      <c r="C310" s="602" t="s">
        <v>243</v>
      </c>
      <c r="D310" s="656"/>
      <c r="E310" s="648">
        <f>SUM(E314,E311)</f>
        <v>0</v>
      </c>
      <c r="F310" s="648">
        <f>SUM(F314,F311)</f>
        <v>16677434</v>
      </c>
      <c r="G310" s="81">
        <f>SUM(G314,G311)</f>
        <v>0</v>
      </c>
      <c r="H310" s="375"/>
      <c r="I310" s="81">
        <f t="shared" ref="I310:J310" si="133">SUM(I311,I313)</f>
        <v>10000000</v>
      </c>
      <c r="J310" s="80">
        <f t="shared" si="133"/>
        <v>10000000</v>
      </c>
      <c r="K310" s="82">
        <f t="shared" si="112"/>
        <v>0.59961262625893164</v>
      </c>
      <c r="L310" s="41"/>
    </row>
    <row r="311" spans="1:12">
      <c r="A311" s="657"/>
      <c r="B311" s="3901" t="s">
        <v>25</v>
      </c>
      <c r="C311" s="3892"/>
      <c r="D311" s="658"/>
      <c r="E311" s="491">
        <f>SUM(E312:E313)</f>
        <v>0</v>
      </c>
      <c r="F311" s="491">
        <f>SUM(F312:F313)</f>
        <v>16677434</v>
      </c>
      <c r="G311" s="110">
        <f>SUM(G312:G313)</f>
        <v>0</v>
      </c>
      <c r="H311" s="379"/>
      <c r="I311" s="110">
        <f t="shared" ref="I311:J311" si="134">SUM(I312)</f>
        <v>10000000</v>
      </c>
      <c r="J311" s="84">
        <f t="shared" si="134"/>
        <v>10000000</v>
      </c>
      <c r="K311" s="47">
        <f t="shared" si="112"/>
        <v>0.59961262625893164</v>
      </c>
      <c r="L311" s="48"/>
    </row>
    <row r="312" spans="1:12" ht="25.5">
      <c r="A312" s="657"/>
      <c r="B312" s="3902"/>
      <c r="C312" s="633" t="s">
        <v>244</v>
      </c>
      <c r="D312" s="687" t="s">
        <v>45</v>
      </c>
      <c r="E312" s="495">
        <v>0</v>
      </c>
      <c r="F312" s="314">
        <v>14089021</v>
      </c>
      <c r="G312" s="52">
        <v>0</v>
      </c>
      <c r="H312" s="53"/>
      <c r="I312" s="688">
        <v>10000000</v>
      </c>
      <c r="J312" s="61">
        <f>SUM(G312,I312)</f>
        <v>10000000</v>
      </c>
      <c r="K312" s="56">
        <f t="shared" si="112"/>
        <v>0.70977252429391657</v>
      </c>
      <c r="L312" s="99"/>
    </row>
    <row r="313" spans="1:12" ht="51" hidden="1">
      <c r="A313" s="657"/>
      <c r="B313" s="3903"/>
      <c r="C313" s="689" t="s">
        <v>245</v>
      </c>
      <c r="D313" s="690" t="s">
        <v>116</v>
      </c>
      <c r="E313" s="495">
        <v>0</v>
      </c>
      <c r="F313" s="314">
        <v>2588413</v>
      </c>
      <c r="G313" s="52">
        <v>0</v>
      </c>
      <c r="H313" s="53"/>
      <c r="I313" s="98">
        <v>0</v>
      </c>
      <c r="J313" s="61">
        <f>SUM(G313,I313)</f>
        <v>0</v>
      </c>
      <c r="K313" s="56">
        <f t="shared" si="112"/>
        <v>0</v>
      </c>
      <c r="L313" s="99"/>
    </row>
    <row r="314" spans="1:12" ht="14.25" customHeight="1" thickBot="1">
      <c r="A314" s="657"/>
      <c r="B314" s="3900" t="s">
        <v>30</v>
      </c>
      <c r="C314" s="3904"/>
      <c r="D314" s="691"/>
      <c r="E314" s="122">
        <v>0</v>
      </c>
      <c r="F314" s="122">
        <v>0</v>
      </c>
      <c r="G314" s="103">
        <v>0</v>
      </c>
      <c r="H314" s="420"/>
      <c r="I314" s="692">
        <v>0</v>
      </c>
      <c r="J314" s="692">
        <v>0</v>
      </c>
      <c r="K314" s="374"/>
      <c r="L314" s="70"/>
    </row>
    <row r="315" spans="1:12" ht="15.75" hidden="1" customHeight="1" thickBot="1">
      <c r="A315" s="657"/>
      <c r="B315" s="693">
        <v>75816</v>
      </c>
      <c r="C315" s="694" t="s">
        <v>246</v>
      </c>
      <c r="D315" s="695"/>
      <c r="E315" s="441">
        <v>0</v>
      </c>
      <c r="F315" s="356"/>
      <c r="G315" s="357"/>
      <c r="H315" s="442" t="e">
        <f t="shared" si="117"/>
        <v>#DIV/0!</v>
      </c>
      <c r="I315" s="61"/>
      <c r="J315" s="61"/>
      <c r="K315" s="218" t="e">
        <f t="shared" si="112"/>
        <v>#DIV/0!</v>
      </c>
      <c r="L315" s="91"/>
    </row>
    <row r="316" spans="1:12" ht="15.75" hidden="1" customHeight="1" thickBot="1">
      <c r="A316" s="657"/>
      <c r="B316" s="3905" t="s">
        <v>98</v>
      </c>
      <c r="C316" s="3905"/>
      <c r="D316" s="658"/>
      <c r="E316" s="696">
        <v>0</v>
      </c>
      <c r="F316" s="75"/>
      <c r="G316" s="76"/>
      <c r="H316" s="53" t="e">
        <f t="shared" si="117"/>
        <v>#DIV/0!</v>
      </c>
      <c r="I316" s="98"/>
      <c r="J316" s="98"/>
      <c r="K316" s="56" t="e">
        <f t="shared" si="112"/>
        <v>#DIV/0!</v>
      </c>
      <c r="L316" s="91"/>
    </row>
    <row r="317" spans="1:12" ht="15.75" hidden="1" customHeight="1" thickBot="1">
      <c r="A317" s="657"/>
      <c r="B317" s="3906" t="s">
        <v>72</v>
      </c>
      <c r="C317" s="3906"/>
      <c r="D317" s="697"/>
      <c r="E317" s="698">
        <v>0</v>
      </c>
      <c r="F317" s="75"/>
      <c r="G317" s="76"/>
      <c r="H317" s="53" t="e">
        <f t="shared" si="117"/>
        <v>#DIV/0!</v>
      </c>
      <c r="I317" s="98"/>
      <c r="J317" s="98"/>
      <c r="K317" s="56" t="e">
        <f t="shared" si="112"/>
        <v>#DIV/0!</v>
      </c>
      <c r="L317" s="91"/>
    </row>
    <row r="318" spans="1:12" s="398" customFormat="1" ht="0.75" hidden="1" customHeight="1" thickBot="1">
      <c r="A318" s="657"/>
      <c r="B318" s="699"/>
      <c r="C318" s="700" t="s">
        <v>247</v>
      </c>
      <c r="D318" s="701" t="s">
        <v>248</v>
      </c>
      <c r="E318" s="702">
        <v>0</v>
      </c>
      <c r="F318" s="703"/>
      <c r="G318" s="704"/>
      <c r="H318" s="450" t="e">
        <f t="shared" si="117"/>
        <v>#DIV/0!</v>
      </c>
      <c r="I318" s="266"/>
      <c r="J318" s="266"/>
      <c r="K318" s="78" t="e">
        <f t="shared" si="112"/>
        <v>#DIV/0!</v>
      </c>
      <c r="L318" s="79"/>
    </row>
    <row r="319" spans="1:12" s="398" customFormat="1" ht="15" customHeight="1" thickBot="1">
      <c r="A319" s="657"/>
      <c r="B319" s="685">
        <v>75819</v>
      </c>
      <c r="C319" s="602" t="s">
        <v>249</v>
      </c>
      <c r="D319" s="603"/>
      <c r="E319" s="648">
        <f t="shared" ref="E319:G319" si="135">SUM(E320,E322)</f>
        <v>20841827</v>
      </c>
      <c r="F319" s="648">
        <f t="shared" si="135"/>
        <v>20841827</v>
      </c>
      <c r="G319" s="81">
        <f t="shared" si="135"/>
        <v>20841827</v>
      </c>
      <c r="H319" s="375">
        <f t="shared" si="117"/>
        <v>1</v>
      </c>
      <c r="I319" s="81">
        <f t="shared" ref="I319:J319" si="136">SUM(I320,I322)</f>
        <v>21308</v>
      </c>
      <c r="J319" s="80">
        <f t="shared" si="136"/>
        <v>20863135</v>
      </c>
      <c r="K319" s="82">
        <f t="shared" si="112"/>
        <v>1.001022367184988</v>
      </c>
      <c r="L319" s="306"/>
    </row>
    <row r="320" spans="1:12" s="398" customFormat="1" ht="15" customHeight="1">
      <c r="A320" s="657"/>
      <c r="B320" s="3892" t="s">
        <v>25</v>
      </c>
      <c r="C320" s="3892"/>
      <c r="D320" s="605"/>
      <c r="E320" s="491">
        <f t="shared" ref="E320:G320" si="137">SUM(E321)</f>
        <v>20841827</v>
      </c>
      <c r="F320" s="491">
        <f t="shared" si="137"/>
        <v>20841827</v>
      </c>
      <c r="G320" s="110">
        <f t="shared" si="137"/>
        <v>20841827</v>
      </c>
      <c r="H320" s="379">
        <f t="shared" si="117"/>
        <v>1</v>
      </c>
      <c r="I320" s="110">
        <f t="shared" ref="I320:J320" si="138">SUM(I321)</f>
        <v>21308</v>
      </c>
      <c r="J320" s="84">
        <f t="shared" si="138"/>
        <v>20863135</v>
      </c>
      <c r="K320" s="218">
        <f t="shared" si="112"/>
        <v>1.001022367184988</v>
      </c>
      <c r="L320" s="311"/>
    </row>
    <row r="321" spans="1:12" s="398" customFormat="1" ht="47.25" customHeight="1">
      <c r="A321" s="657"/>
      <c r="B321" s="606"/>
      <c r="C321" s="705" t="s">
        <v>239</v>
      </c>
      <c r="D321" s="687" t="s">
        <v>250</v>
      </c>
      <c r="E321" s="495">
        <v>20841827</v>
      </c>
      <c r="F321" s="328">
        <v>20841827</v>
      </c>
      <c r="G321" s="328">
        <v>20841827</v>
      </c>
      <c r="H321" s="53">
        <f t="shared" si="117"/>
        <v>1</v>
      </c>
      <c r="I321" s="98">
        <v>21308</v>
      </c>
      <c r="J321" s="61">
        <f>SUM(G321,I321)</f>
        <v>20863135</v>
      </c>
      <c r="K321" s="56">
        <f t="shared" si="112"/>
        <v>1.001022367184988</v>
      </c>
      <c r="L321" s="145"/>
    </row>
    <row r="322" spans="1:12" s="398" customFormat="1" ht="15" customHeight="1" thickBot="1">
      <c r="A322" s="711"/>
      <c r="B322" s="3922" t="s">
        <v>30</v>
      </c>
      <c r="C322" s="3922"/>
      <c r="D322" s="691"/>
      <c r="E322" s="122">
        <v>0</v>
      </c>
      <c r="F322" s="122">
        <v>0</v>
      </c>
      <c r="G322" s="103">
        <v>0</v>
      </c>
      <c r="H322" s="420"/>
      <c r="I322" s="692">
        <v>0</v>
      </c>
      <c r="J322" s="692">
        <v>0</v>
      </c>
      <c r="K322" s="287"/>
      <c r="L322" s="105"/>
    </row>
    <row r="323" spans="1:12" s="398" customFormat="1" ht="15" customHeight="1" thickBot="1">
      <c r="A323" s="655"/>
      <c r="B323" s="713">
        <v>75833</v>
      </c>
      <c r="C323" s="661" t="s">
        <v>251</v>
      </c>
      <c r="D323" s="656"/>
      <c r="E323" s="159">
        <v>105406051</v>
      </c>
      <c r="F323" s="159">
        <f t="shared" ref="F323:G323" si="139">SUM(F324,F326)</f>
        <v>105406051</v>
      </c>
      <c r="G323" s="81">
        <f t="shared" si="139"/>
        <v>85780845</v>
      </c>
      <c r="H323" s="375">
        <f t="shared" si="117"/>
        <v>0.81381328857486557</v>
      </c>
      <c r="I323" s="81">
        <f t="shared" ref="I323:J323" si="140">SUM(I324,I326)</f>
        <v>55933096</v>
      </c>
      <c r="J323" s="80">
        <f t="shared" si="140"/>
        <v>141713941</v>
      </c>
      <c r="K323" s="82">
        <f t="shared" si="112"/>
        <v>1.3444573594736036</v>
      </c>
      <c r="L323" s="41"/>
    </row>
    <row r="324" spans="1:12" s="398" customFormat="1" ht="15" customHeight="1">
      <c r="A324" s="657"/>
      <c r="B324" s="3923" t="s">
        <v>25</v>
      </c>
      <c r="C324" s="3924"/>
      <c r="D324" s="708"/>
      <c r="E324" s="109">
        <v>105406051</v>
      </c>
      <c r="F324" s="109">
        <f t="shared" ref="F324:J324" si="141">SUM(F325)</f>
        <v>105406051</v>
      </c>
      <c r="G324" s="110">
        <f t="shared" si="141"/>
        <v>85780845</v>
      </c>
      <c r="H324" s="379">
        <f t="shared" si="117"/>
        <v>0.81381328857486557</v>
      </c>
      <c r="I324" s="110">
        <f t="shared" si="141"/>
        <v>55933096</v>
      </c>
      <c r="J324" s="84">
        <f t="shared" si="141"/>
        <v>141713941</v>
      </c>
      <c r="K324" s="47">
        <f t="shared" si="112"/>
        <v>1.3444573594736036</v>
      </c>
      <c r="L324" s="48"/>
    </row>
    <row r="325" spans="1:12" ht="21" customHeight="1">
      <c r="A325" s="657"/>
      <c r="B325" s="709"/>
      <c r="C325" s="710" t="s">
        <v>237</v>
      </c>
      <c r="D325" s="687" t="s">
        <v>252</v>
      </c>
      <c r="E325" s="495">
        <v>105406051</v>
      </c>
      <c r="F325" s="314">
        <v>105406051</v>
      </c>
      <c r="G325" s="52">
        <v>85780845</v>
      </c>
      <c r="H325" s="53">
        <f t="shared" si="117"/>
        <v>0.81381328857486557</v>
      </c>
      <c r="I325" s="98">
        <v>55933096</v>
      </c>
      <c r="J325" s="61">
        <f>SUM(G325,I325)</f>
        <v>141713941</v>
      </c>
      <c r="K325" s="56">
        <f t="shared" si="112"/>
        <v>1.3444573594736036</v>
      </c>
      <c r="L325" s="145"/>
    </row>
    <row r="326" spans="1:12" ht="15" customHeight="1" thickBot="1">
      <c r="A326" s="657"/>
      <c r="B326" s="3922" t="s">
        <v>30</v>
      </c>
      <c r="C326" s="3925"/>
      <c r="D326" s="712"/>
      <c r="E326" s="122">
        <v>0</v>
      </c>
      <c r="F326" s="122">
        <v>0</v>
      </c>
      <c r="G326" s="103">
        <v>0</v>
      </c>
      <c r="H326" s="420"/>
      <c r="I326" s="692">
        <v>0</v>
      </c>
      <c r="J326" s="692">
        <v>0</v>
      </c>
      <c r="K326" s="374"/>
      <c r="L326" s="105"/>
    </row>
    <row r="327" spans="1:12" ht="39" thickBot="1">
      <c r="A327" s="657"/>
      <c r="B327" s="713">
        <v>75863</v>
      </c>
      <c r="C327" s="661" t="s">
        <v>253</v>
      </c>
      <c r="D327" s="662"/>
      <c r="E327" s="80">
        <f t="shared" ref="E327:G327" si="142">SUM(E328,E335)</f>
        <v>175303727</v>
      </c>
      <c r="F327" s="80">
        <f t="shared" si="142"/>
        <v>177386842</v>
      </c>
      <c r="G327" s="81">
        <f t="shared" si="142"/>
        <v>301640701</v>
      </c>
      <c r="H327" s="375">
        <f t="shared" si="117"/>
        <v>1.720674774929343</v>
      </c>
      <c r="I327" s="80">
        <f t="shared" ref="I327:J327" si="143">SUM(I328,I335)</f>
        <v>0</v>
      </c>
      <c r="J327" s="80">
        <f t="shared" si="143"/>
        <v>301640701</v>
      </c>
      <c r="K327" s="82">
        <f t="shared" si="112"/>
        <v>1.7004682962899806</v>
      </c>
      <c r="L327" s="135"/>
    </row>
    <row r="328" spans="1:12" s="398" customFormat="1" ht="15" customHeight="1">
      <c r="A328" s="657"/>
      <c r="B328" s="3908" t="s">
        <v>25</v>
      </c>
      <c r="C328" s="3909"/>
      <c r="D328" s="714"/>
      <c r="E328" s="84">
        <f>SUM(E329:E334)</f>
        <v>33264664</v>
      </c>
      <c r="F328" s="84">
        <f>SUM(F329:F334)</f>
        <v>37122640</v>
      </c>
      <c r="G328" s="85">
        <f>SUM(G329:G334)</f>
        <v>12372377</v>
      </c>
      <c r="H328" s="379">
        <f t="shared" si="117"/>
        <v>0.37193753106900462</v>
      </c>
      <c r="I328" s="84">
        <f>SUM(I329:I334)</f>
        <v>0</v>
      </c>
      <c r="J328" s="84">
        <f>SUM(J329:J334)</f>
        <v>12372377</v>
      </c>
      <c r="K328" s="47">
        <f t="shared" si="112"/>
        <v>0.33328386666465531</v>
      </c>
      <c r="L328" s="139"/>
    </row>
    <row r="329" spans="1:12" ht="51">
      <c r="A329" s="657"/>
      <c r="B329" s="715"/>
      <c r="C329" s="716" t="s">
        <v>254</v>
      </c>
      <c r="D329" s="3914">
        <v>2007</v>
      </c>
      <c r="E329" s="50">
        <v>17627621</v>
      </c>
      <c r="F329" s="51">
        <v>15358755</v>
      </c>
      <c r="G329" s="52">
        <v>4080466</v>
      </c>
      <c r="H329" s="53">
        <f t="shared" si="117"/>
        <v>0.23148137800330515</v>
      </c>
      <c r="I329" s="98">
        <v>0</v>
      </c>
      <c r="J329" s="61">
        <f>SUM(G329,I329)</f>
        <v>4080466</v>
      </c>
      <c r="K329" s="56">
        <f t="shared" si="112"/>
        <v>0.26567687289757536</v>
      </c>
      <c r="L329" s="145"/>
    </row>
    <row r="330" spans="1:12" ht="50.25" hidden="1" customHeight="1" thickBot="1">
      <c r="A330" s="657"/>
      <c r="B330" s="717"/>
      <c r="C330" s="718" t="s">
        <v>255</v>
      </c>
      <c r="D330" s="3926"/>
      <c r="E330" s="244"/>
      <c r="F330" s="51"/>
      <c r="G330" s="52"/>
      <c r="H330" s="53" t="e">
        <f t="shared" si="117"/>
        <v>#DIV/0!</v>
      </c>
      <c r="I330" s="98"/>
      <c r="J330" s="98"/>
      <c r="K330" s="56" t="e">
        <f t="shared" ref="K330:K393" si="144">J330/F330</f>
        <v>#DIV/0!</v>
      </c>
      <c r="L330" s="142"/>
    </row>
    <row r="331" spans="1:12" ht="54.75" hidden="1" customHeight="1">
      <c r="A331" s="657"/>
      <c r="B331" s="720"/>
      <c r="C331" s="721" t="s">
        <v>256</v>
      </c>
      <c r="D331" s="722">
        <v>2009</v>
      </c>
      <c r="E331" s="244"/>
      <c r="F331" s="51"/>
      <c r="G331" s="52"/>
      <c r="H331" s="53" t="e">
        <f t="shared" si="117"/>
        <v>#DIV/0!</v>
      </c>
      <c r="I331" s="98"/>
      <c r="J331" s="98"/>
      <c r="K331" s="56" t="e">
        <f t="shared" si="144"/>
        <v>#DIV/0!</v>
      </c>
      <c r="L331" s="142"/>
    </row>
    <row r="332" spans="1:12" ht="51">
      <c r="A332" s="657"/>
      <c r="B332" s="723"/>
      <c r="C332" s="724" t="s">
        <v>254</v>
      </c>
      <c r="D332" s="3914">
        <v>2057</v>
      </c>
      <c r="E332" s="50">
        <v>15637043</v>
      </c>
      <c r="F332" s="51">
        <v>20828885</v>
      </c>
      <c r="G332" s="52">
        <v>4761911</v>
      </c>
      <c r="H332" s="53">
        <f t="shared" si="117"/>
        <v>0.30452758875191427</v>
      </c>
      <c r="I332" s="98">
        <v>0</v>
      </c>
      <c r="J332" s="61">
        <f>SUM(G332,I332)</f>
        <v>4761911</v>
      </c>
      <c r="K332" s="56">
        <f t="shared" si="144"/>
        <v>0.22862054305835383</v>
      </c>
      <c r="L332" s="145"/>
    </row>
    <row r="333" spans="1:12" ht="50.25" hidden="1" customHeight="1" thickBot="1">
      <c r="A333" s="657"/>
      <c r="B333" s="717"/>
      <c r="C333" s="725" t="s">
        <v>255</v>
      </c>
      <c r="D333" s="3915"/>
      <c r="E333" s="264"/>
      <c r="F333" s="51"/>
      <c r="G333" s="52"/>
      <c r="H333" s="53" t="e">
        <f t="shared" si="117"/>
        <v>#DIV/0!</v>
      </c>
      <c r="I333" s="98"/>
      <c r="J333" s="98"/>
      <c r="K333" s="56" t="e">
        <f t="shared" si="144"/>
        <v>#DIV/0!</v>
      </c>
      <c r="L333" s="145"/>
    </row>
    <row r="334" spans="1:12" ht="51">
      <c r="A334" s="657"/>
      <c r="B334" s="727"/>
      <c r="C334" s="728" t="s">
        <v>421</v>
      </c>
      <c r="D334" s="729">
        <v>2058</v>
      </c>
      <c r="E334" s="244">
        <v>0</v>
      </c>
      <c r="F334" s="249">
        <v>935000</v>
      </c>
      <c r="G334" s="52">
        <v>3530000</v>
      </c>
      <c r="H334" s="53"/>
      <c r="I334" s="98">
        <v>0</v>
      </c>
      <c r="J334" s="61">
        <f>SUM(G334,I334)</f>
        <v>3530000</v>
      </c>
      <c r="K334" s="56">
        <f t="shared" si="144"/>
        <v>3.7754010695187166</v>
      </c>
      <c r="L334" s="145"/>
    </row>
    <row r="335" spans="1:12" ht="15" customHeight="1">
      <c r="A335" s="657"/>
      <c r="B335" s="3916" t="s">
        <v>72</v>
      </c>
      <c r="C335" s="3917"/>
      <c r="D335" s="730"/>
      <c r="E335" s="170">
        <f>SUM(E336:E341)</f>
        <v>142039063</v>
      </c>
      <c r="F335" s="170">
        <f t="shared" ref="F335" si="145">SUM(F336:F341)</f>
        <v>140264202</v>
      </c>
      <c r="G335" s="171">
        <f>SUM(G336:G341)</f>
        <v>289268324</v>
      </c>
      <c r="H335" s="379">
        <f t="shared" si="117"/>
        <v>2.0365406381200923</v>
      </c>
      <c r="I335" s="170">
        <f>SUM(I336:I341)</f>
        <v>0</v>
      </c>
      <c r="J335" s="170">
        <f t="shared" ref="J335" si="146">SUM(J336:J341)</f>
        <v>289268324</v>
      </c>
      <c r="K335" s="259">
        <f t="shared" si="144"/>
        <v>2.062310410463819</v>
      </c>
      <c r="L335" s="139"/>
    </row>
    <row r="336" spans="1:12" ht="51" hidden="1">
      <c r="A336" s="657"/>
      <c r="B336" s="715"/>
      <c r="C336" s="731" t="s">
        <v>254</v>
      </c>
      <c r="D336" s="729">
        <v>6207</v>
      </c>
      <c r="E336" s="50">
        <v>206487</v>
      </c>
      <c r="F336" s="51">
        <v>3864228</v>
      </c>
      <c r="G336" s="52">
        <v>0</v>
      </c>
      <c r="H336" s="53">
        <f t="shared" si="117"/>
        <v>0</v>
      </c>
      <c r="I336" s="98">
        <v>0</v>
      </c>
      <c r="J336" s="61">
        <f>SUM(G336,I336)</f>
        <v>0</v>
      </c>
      <c r="K336" s="56">
        <f t="shared" si="144"/>
        <v>0</v>
      </c>
      <c r="L336" s="145"/>
    </row>
    <row r="337" spans="1:81" s="398" customFormat="1" ht="51">
      <c r="A337" s="657"/>
      <c r="B337" s="723"/>
      <c r="C337" s="732" t="s">
        <v>258</v>
      </c>
      <c r="D337" s="729">
        <v>6209</v>
      </c>
      <c r="E337" s="50">
        <v>9360112</v>
      </c>
      <c r="F337" s="51">
        <v>9360112</v>
      </c>
      <c r="G337" s="52">
        <v>12326852</v>
      </c>
      <c r="H337" s="53">
        <f t="shared" si="117"/>
        <v>1.316955609078182</v>
      </c>
      <c r="I337" s="98">
        <v>0</v>
      </c>
      <c r="J337" s="61">
        <f>SUM(G337,I337)</f>
        <v>12326852</v>
      </c>
      <c r="K337" s="56">
        <f t="shared" si="144"/>
        <v>1.316955609078182</v>
      </c>
      <c r="L337" s="145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81" s="398" customFormat="1" ht="51">
      <c r="A338" s="657"/>
      <c r="B338" s="723"/>
      <c r="C338" s="733" t="s">
        <v>254</v>
      </c>
      <c r="D338" s="3918">
        <v>6257</v>
      </c>
      <c r="E338" s="244">
        <v>132472464</v>
      </c>
      <c r="F338" s="249">
        <v>127039862</v>
      </c>
      <c r="G338" s="250">
        <v>271797131</v>
      </c>
      <c r="H338" s="442">
        <f t="shared" ref="H338:H404" si="147">G338/E338</f>
        <v>2.0517254891552406</v>
      </c>
      <c r="I338" s="61">
        <v>0</v>
      </c>
      <c r="J338" s="61">
        <f>SUM(G338,I338)</f>
        <v>271797131</v>
      </c>
      <c r="K338" s="56">
        <f t="shared" si="144"/>
        <v>2.1394633678049808</v>
      </c>
      <c r="L338" s="9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81" s="398" customFormat="1" ht="63.75" hidden="1" customHeight="1">
      <c r="A339" s="657"/>
      <c r="B339" s="723"/>
      <c r="C339" s="734" t="s">
        <v>255</v>
      </c>
      <c r="D339" s="3918"/>
      <c r="E339" s="50">
        <v>0</v>
      </c>
      <c r="F339" s="51">
        <v>0</v>
      </c>
      <c r="G339" s="52">
        <v>0</v>
      </c>
      <c r="H339" s="53"/>
      <c r="I339" s="98"/>
      <c r="J339" s="98"/>
      <c r="K339" s="56" t="e">
        <f t="shared" si="144"/>
        <v>#DIV/0!</v>
      </c>
      <c r="L339" s="145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81" ht="51.75" customHeight="1" thickBot="1">
      <c r="A340" s="657"/>
      <c r="B340" s="723"/>
      <c r="C340" s="734" t="s">
        <v>259</v>
      </c>
      <c r="D340" s="3914">
        <v>6259</v>
      </c>
      <c r="E340" s="244">
        <v>0</v>
      </c>
      <c r="F340" s="51">
        <v>0</v>
      </c>
      <c r="G340" s="52">
        <v>5144341</v>
      </c>
      <c r="H340" s="53"/>
      <c r="I340" s="98">
        <v>0</v>
      </c>
      <c r="J340" s="61">
        <f>SUM(G340,I340)</f>
        <v>5144341</v>
      </c>
      <c r="K340" s="56"/>
      <c r="L340" s="142"/>
    </row>
    <row r="341" spans="1:81" ht="62.25" hidden="1" customHeight="1" thickBot="1">
      <c r="A341" s="657"/>
      <c r="B341" s="723"/>
      <c r="C341" s="734" t="s">
        <v>260</v>
      </c>
      <c r="D341" s="3918"/>
      <c r="E341" s="97"/>
      <c r="F341" s="400"/>
      <c r="G341" s="151"/>
      <c r="H341" s="450" t="e">
        <f t="shared" si="147"/>
        <v>#DIV/0!</v>
      </c>
      <c r="I341" s="266"/>
      <c r="J341" s="266"/>
      <c r="K341" s="78" t="e">
        <f t="shared" si="144"/>
        <v>#DIV/0!</v>
      </c>
      <c r="L341" s="477"/>
    </row>
    <row r="342" spans="1:81" ht="28.5" customHeight="1" thickBot="1">
      <c r="A342" s="657"/>
      <c r="B342" s="660">
        <v>75864</v>
      </c>
      <c r="C342" s="661" t="s">
        <v>261</v>
      </c>
      <c r="D342" s="662"/>
      <c r="E342" s="80">
        <f>SUM(E343,E349)</f>
        <v>95334200</v>
      </c>
      <c r="F342" s="80">
        <f>SUM(F343,F349)</f>
        <v>96925133</v>
      </c>
      <c r="G342" s="81">
        <f>SUM(G343,G349)</f>
        <v>79553233</v>
      </c>
      <c r="H342" s="375">
        <f t="shared" si="147"/>
        <v>0.83446688596537233</v>
      </c>
      <c r="I342" s="80">
        <f>SUM(I343,I349)</f>
        <v>0</v>
      </c>
      <c r="J342" s="80">
        <f>SUM(J343,J349)</f>
        <v>79553233</v>
      </c>
      <c r="K342" s="82">
        <f t="shared" si="144"/>
        <v>0.82076991320713488</v>
      </c>
      <c r="L342" s="135"/>
    </row>
    <row r="343" spans="1:81" s="398" customFormat="1" ht="15" customHeight="1">
      <c r="A343" s="657"/>
      <c r="B343" s="3908" t="s">
        <v>25</v>
      </c>
      <c r="C343" s="3909"/>
      <c r="D343" s="735"/>
      <c r="E343" s="84">
        <f>SUM(E345:E348)</f>
        <v>76833870</v>
      </c>
      <c r="F343" s="84">
        <f t="shared" ref="F343" si="148">SUM(F344:F348)</f>
        <v>78852528</v>
      </c>
      <c r="G343" s="45">
        <f>SUM(G345:G348)</f>
        <v>68334143</v>
      </c>
      <c r="H343" s="379">
        <f t="shared" si="147"/>
        <v>0.88937525859363842</v>
      </c>
      <c r="I343" s="84">
        <f>SUM(I345:I348)</f>
        <v>0</v>
      </c>
      <c r="J343" s="84">
        <f t="shared" ref="J343" si="149">SUM(J344:J348)</f>
        <v>68334143</v>
      </c>
      <c r="K343" s="47">
        <f t="shared" si="144"/>
        <v>0.86660687657344349</v>
      </c>
      <c r="L343" s="139"/>
    </row>
    <row r="344" spans="1:81" s="398" customFormat="1" ht="51.75" hidden="1" customHeight="1">
      <c r="A344" s="657"/>
      <c r="B344" s="3919"/>
      <c r="C344" s="734" t="s">
        <v>254</v>
      </c>
      <c r="D344" s="677">
        <v>2007</v>
      </c>
      <c r="E344" s="50"/>
      <c r="F344" s="396"/>
      <c r="G344" s="397"/>
      <c r="H344" s="53" t="e">
        <f t="shared" si="147"/>
        <v>#DIV/0!</v>
      </c>
      <c r="I344" s="98"/>
      <c r="J344" s="98"/>
      <c r="K344" s="56" t="e">
        <f t="shared" si="144"/>
        <v>#DIV/0!</v>
      </c>
      <c r="L344" s="142"/>
    </row>
    <row r="345" spans="1:81" s="398" customFormat="1" ht="51">
      <c r="A345" s="657"/>
      <c r="B345" s="3920"/>
      <c r="C345" s="732" t="s">
        <v>256</v>
      </c>
      <c r="D345" s="729">
        <v>2009</v>
      </c>
      <c r="E345" s="50">
        <v>21190400</v>
      </c>
      <c r="F345" s="51">
        <v>23259550</v>
      </c>
      <c r="G345" s="52">
        <v>9383296</v>
      </c>
      <c r="H345" s="53">
        <f t="shared" si="147"/>
        <v>0.44280881908788888</v>
      </c>
      <c r="I345" s="98">
        <v>0</v>
      </c>
      <c r="J345" s="61">
        <f>SUM(G345,I345)</f>
        <v>9383296</v>
      </c>
      <c r="K345" s="56">
        <f t="shared" si="144"/>
        <v>0.4034169190719511</v>
      </c>
      <c r="L345" s="145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</row>
    <row r="346" spans="1:81" s="398" customFormat="1" ht="51">
      <c r="A346" s="657"/>
      <c r="B346" s="3920"/>
      <c r="C346" s="732" t="s">
        <v>254</v>
      </c>
      <c r="D346" s="729">
        <v>2057</v>
      </c>
      <c r="E346" s="50">
        <v>4991200</v>
      </c>
      <c r="F346" s="51">
        <v>4717500</v>
      </c>
      <c r="G346" s="52">
        <v>18216590</v>
      </c>
      <c r="H346" s="53">
        <f t="shared" si="147"/>
        <v>3.6497415451194102</v>
      </c>
      <c r="I346" s="98">
        <v>0</v>
      </c>
      <c r="J346" s="61">
        <f t="shared" ref="J346:J352" si="150">SUM(G346,I346)</f>
        <v>18216590</v>
      </c>
      <c r="K346" s="56">
        <f t="shared" si="144"/>
        <v>3.8614923158452572</v>
      </c>
      <c r="L346" s="145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</row>
    <row r="347" spans="1:81" s="737" customFormat="1" ht="51">
      <c r="A347" s="657"/>
      <c r="B347" s="3920"/>
      <c r="C347" s="736" t="s">
        <v>257</v>
      </c>
      <c r="D347" s="726">
        <v>2058</v>
      </c>
      <c r="E347" s="50">
        <v>50233670</v>
      </c>
      <c r="F347" s="51">
        <v>50489078</v>
      </c>
      <c r="G347" s="52">
        <v>40734257</v>
      </c>
      <c r="H347" s="53">
        <f t="shared" si="147"/>
        <v>0.81089550096578644</v>
      </c>
      <c r="I347" s="98">
        <v>0</v>
      </c>
      <c r="J347" s="61">
        <f t="shared" si="150"/>
        <v>40734257</v>
      </c>
      <c r="K347" s="56">
        <f t="shared" si="144"/>
        <v>0.80679344154393151</v>
      </c>
      <c r="L347" s="145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</row>
    <row r="348" spans="1:81" s="738" customFormat="1" ht="51" hidden="1">
      <c r="A348" s="657"/>
      <c r="B348" s="3921"/>
      <c r="C348" s="728" t="s">
        <v>262</v>
      </c>
      <c r="D348" s="729">
        <v>2059</v>
      </c>
      <c r="E348" s="50">
        <v>418600</v>
      </c>
      <c r="F348" s="51">
        <v>386400</v>
      </c>
      <c r="G348" s="52">
        <v>0</v>
      </c>
      <c r="H348" s="53">
        <f t="shared" si="147"/>
        <v>0</v>
      </c>
      <c r="I348" s="98">
        <v>0</v>
      </c>
      <c r="J348" s="61">
        <f t="shared" si="150"/>
        <v>0</v>
      </c>
      <c r="K348" s="56">
        <f t="shared" si="144"/>
        <v>0</v>
      </c>
      <c r="L348" s="145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</row>
    <row r="349" spans="1:81">
      <c r="A349" s="657"/>
      <c r="B349" s="3937" t="s">
        <v>72</v>
      </c>
      <c r="C349" s="3938"/>
      <c r="D349" s="1154"/>
      <c r="E349" s="64">
        <f>SUM(E350:E353)</f>
        <v>18500330</v>
      </c>
      <c r="F349" s="64">
        <f t="shared" ref="F349" si="151">SUM(F350:F353)</f>
        <v>18072605</v>
      </c>
      <c r="G349" s="137">
        <f>SUM(G350:G353)</f>
        <v>11219090</v>
      </c>
      <c r="H349" s="258">
        <f t="shared" si="147"/>
        <v>0.60642647996008725</v>
      </c>
      <c r="I349" s="64">
        <f>SUM(I350:I353)</f>
        <v>0</v>
      </c>
      <c r="J349" s="64">
        <f t="shared" ref="J349" si="152">SUM(J350:J353)</f>
        <v>11219090</v>
      </c>
      <c r="K349" s="259">
        <f t="shared" si="144"/>
        <v>0.62077879752254861</v>
      </c>
      <c r="L349" s="139"/>
    </row>
    <row r="350" spans="1:81" ht="51.75" hidden="1" customHeight="1">
      <c r="A350" s="657"/>
      <c r="B350" s="739"/>
      <c r="C350" s="731" t="s">
        <v>263</v>
      </c>
      <c r="D350" s="729">
        <v>6209</v>
      </c>
      <c r="E350" s="50">
        <v>403000</v>
      </c>
      <c r="F350" s="51">
        <v>230042</v>
      </c>
      <c r="G350" s="52">
        <v>0</v>
      </c>
      <c r="H350" s="53">
        <f t="shared" si="147"/>
        <v>0</v>
      </c>
      <c r="I350" s="98">
        <v>0</v>
      </c>
      <c r="J350" s="61">
        <f t="shared" si="150"/>
        <v>0</v>
      </c>
      <c r="K350" s="56">
        <f t="shared" si="144"/>
        <v>0</v>
      </c>
      <c r="L350" s="145"/>
      <c r="N350" s="246"/>
    </row>
    <row r="351" spans="1:81" ht="51" hidden="1" customHeight="1">
      <c r="A351" s="657"/>
      <c r="B351" s="740"/>
      <c r="C351" s="731" t="s">
        <v>254</v>
      </c>
      <c r="D351" s="729">
        <v>6257</v>
      </c>
      <c r="E351" s="50">
        <v>0</v>
      </c>
      <c r="F351" s="51">
        <v>0</v>
      </c>
      <c r="G351" s="52">
        <v>0</v>
      </c>
      <c r="H351" s="53" t="e">
        <f t="shared" si="147"/>
        <v>#DIV/0!</v>
      </c>
      <c r="I351" s="98"/>
      <c r="J351" s="98"/>
      <c r="K351" s="56" t="e">
        <f t="shared" si="144"/>
        <v>#DIV/0!</v>
      </c>
      <c r="L351" s="145"/>
    </row>
    <row r="352" spans="1:81" ht="51.75" customHeight="1" thickBot="1">
      <c r="A352" s="657"/>
      <c r="B352" s="741"/>
      <c r="C352" s="252" t="s">
        <v>264</v>
      </c>
      <c r="D352" s="742">
        <v>6258</v>
      </c>
      <c r="E352" s="254">
        <v>18097330</v>
      </c>
      <c r="F352" s="589">
        <v>17842563</v>
      </c>
      <c r="G352" s="197">
        <v>11219090</v>
      </c>
      <c r="H352" s="198">
        <f t="shared" si="147"/>
        <v>0.6199306748564567</v>
      </c>
      <c r="I352" s="199">
        <v>0</v>
      </c>
      <c r="J352" s="61">
        <f t="shared" si="150"/>
        <v>11219090</v>
      </c>
      <c r="K352" s="56">
        <f t="shared" si="144"/>
        <v>0.62878242324266975</v>
      </c>
      <c r="L352" s="212"/>
      <c r="N352" s="246"/>
    </row>
    <row r="353" spans="1:81" ht="51.75" hidden="1" customHeight="1" thickBot="1">
      <c r="A353" s="657"/>
      <c r="B353" s="743"/>
      <c r="C353" s="744" t="s">
        <v>262</v>
      </c>
      <c r="D353" s="745">
        <v>6259</v>
      </c>
      <c r="E353" s="74"/>
      <c r="F353" s="356"/>
      <c r="G353" s="130"/>
      <c r="H353" s="429" t="e">
        <f t="shared" si="147"/>
        <v>#DIV/0!</v>
      </c>
      <c r="I353" s="430"/>
      <c r="J353" s="430"/>
      <c r="K353" s="78" t="e">
        <f t="shared" si="144"/>
        <v>#DIV/0!</v>
      </c>
      <c r="L353" s="133"/>
    </row>
    <row r="354" spans="1:81" s="746" customFormat="1" ht="28.5" customHeight="1" thickBot="1">
      <c r="A354" s="657"/>
      <c r="B354" s="660">
        <v>75865</v>
      </c>
      <c r="C354" s="661" t="s">
        <v>265</v>
      </c>
      <c r="D354" s="662"/>
      <c r="E354" s="80">
        <f>SUM(E355,E358)</f>
        <v>0</v>
      </c>
      <c r="F354" s="80">
        <f>SUM(F355,F358)</f>
        <v>0</v>
      </c>
      <c r="G354" s="81">
        <f>SUM(G355,G358)</f>
        <v>17000000</v>
      </c>
      <c r="H354" s="375"/>
      <c r="I354" s="80">
        <f>SUM(I355,I358)</f>
        <v>0</v>
      </c>
      <c r="J354" s="80">
        <f>SUM(J355,J358)</f>
        <v>17000000</v>
      </c>
      <c r="K354" s="82"/>
      <c r="L354" s="135"/>
    </row>
    <row r="355" spans="1:81" s="747" customFormat="1" ht="15" customHeight="1">
      <c r="A355" s="657"/>
      <c r="B355" s="3908" t="s">
        <v>25</v>
      </c>
      <c r="C355" s="3909"/>
      <c r="D355" s="735"/>
      <c r="E355" s="84">
        <f>SUM(E356)</f>
        <v>0</v>
      </c>
      <c r="F355" s="84">
        <f>SUM(F356:F357)</f>
        <v>0</v>
      </c>
      <c r="G355" s="45">
        <f>SUM(G356:G357)</f>
        <v>16000000</v>
      </c>
      <c r="H355" s="379"/>
      <c r="I355" s="84">
        <f>SUM(I356)</f>
        <v>0</v>
      </c>
      <c r="J355" s="84">
        <f>SUM(J356:J357)</f>
        <v>16000000</v>
      </c>
      <c r="K355" s="47"/>
      <c r="L355" s="139"/>
    </row>
    <row r="356" spans="1:81" s="748" customFormat="1" ht="25.5">
      <c r="A356" s="657"/>
      <c r="B356" s="3920"/>
      <c r="C356" s="736" t="s">
        <v>266</v>
      </c>
      <c r="D356" s="726">
        <v>2058</v>
      </c>
      <c r="E356" s="50">
        <v>0</v>
      </c>
      <c r="F356" s="51">
        <v>0</v>
      </c>
      <c r="G356" s="52">
        <v>16000000</v>
      </c>
      <c r="H356" s="53"/>
      <c r="I356" s="98">
        <v>0</v>
      </c>
      <c r="J356" s="61">
        <f t="shared" ref="J356" si="153">SUM(G356,I356)</f>
        <v>16000000</v>
      </c>
      <c r="K356" s="56"/>
      <c r="L356" s="145"/>
      <c r="M356" s="746"/>
      <c r="N356" s="746"/>
      <c r="O356" s="746"/>
      <c r="P356" s="746"/>
      <c r="Q356" s="746"/>
      <c r="R356" s="746"/>
      <c r="S356" s="746"/>
      <c r="T356" s="746"/>
      <c r="U356" s="746"/>
      <c r="V356" s="746"/>
      <c r="W356" s="746"/>
      <c r="X356" s="746"/>
      <c r="Y356" s="746"/>
      <c r="Z356" s="746"/>
      <c r="AA356" s="746"/>
      <c r="AB356" s="746"/>
      <c r="AC356" s="746"/>
      <c r="AD356" s="746"/>
      <c r="AE356" s="746"/>
      <c r="AF356" s="746"/>
      <c r="AG356" s="746"/>
      <c r="AH356" s="746"/>
      <c r="AI356" s="746"/>
      <c r="AJ356" s="746"/>
      <c r="AK356" s="746"/>
      <c r="AL356" s="746"/>
      <c r="AM356" s="746"/>
      <c r="AN356" s="746"/>
      <c r="AO356" s="746"/>
      <c r="AP356" s="746"/>
      <c r="AQ356" s="746"/>
      <c r="AR356" s="746"/>
      <c r="AS356" s="746"/>
      <c r="AT356" s="746"/>
      <c r="AU356" s="746"/>
      <c r="AV356" s="746"/>
      <c r="AW356" s="746"/>
      <c r="AX356" s="746"/>
      <c r="AY356" s="746"/>
      <c r="AZ356" s="746"/>
      <c r="BA356" s="746"/>
      <c r="BB356" s="746"/>
      <c r="BC356" s="746"/>
      <c r="BD356" s="746"/>
      <c r="BE356" s="746"/>
      <c r="BF356" s="746"/>
      <c r="BG356" s="746"/>
      <c r="BH356" s="746"/>
      <c r="BI356" s="746"/>
      <c r="BJ356" s="746"/>
      <c r="BK356" s="746"/>
      <c r="BL356" s="746"/>
      <c r="BM356" s="746"/>
      <c r="BN356" s="746"/>
      <c r="BO356" s="746"/>
      <c r="BP356" s="746"/>
      <c r="BQ356" s="746"/>
      <c r="BR356" s="746"/>
      <c r="BS356" s="746"/>
      <c r="BT356" s="746"/>
      <c r="BU356" s="746"/>
      <c r="BV356" s="746"/>
      <c r="BW356" s="746"/>
      <c r="BX356" s="746"/>
      <c r="BY356" s="746"/>
      <c r="BZ356" s="746"/>
      <c r="CA356" s="746"/>
      <c r="CB356" s="746"/>
      <c r="CC356" s="746"/>
    </row>
    <row r="357" spans="1:81" s="749" customFormat="1" ht="51.75" hidden="1" customHeight="1" thickBot="1">
      <c r="A357" s="657"/>
      <c r="B357" s="3920"/>
      <c r="C357" s="736" t="s">
        <v>262</v>
      </c>
      <c r="D357" s="742"/>
      <c r="E357" s="254"/>
      <c r="F357" s="589"/>
      <c r="G357" s="197"/>
      <c r="H357" s="53"/>
      <c r="I357" s="266"/>
      <c r="J357" s="266"/>
      <c r="K357" s="56"/>
      <c r="L357" s="212"/>
      <c r="M357" s="746"/>
      <c r="N357" s="746"/>
      <c r="O357" s="746"/>
      <c r="P357" s="746"/>
      <c r="Q357" s="746"/>
      <c r="R357" s="746"/>
      <c r="S357" s="746"/>
      <c r="T357" s="746"/>
      <c r="U357" s="746"/>
      <c r="V357" s="746"/>
      <c r="W357" s="746"/>
      <c r="X357" s="746"/>
      <c r="Y357" s="746"/>
      <c r="Z357" s="746"/>
      <c r="AA357" s="746"/>
      <c r="AB357" s="746"/>
      <c r="AC357" s="746"/>
      <c r="AD357" s="746"/>
      <c r="AE357" s="746"/>
      <c r="AF357" s="746"/>
      <c r="AG357" s="746"/>
      <c r="AH357" s="746"/>
      <c r="AI357" s="746"/>
      <c r="AJ357" s="746"/>
      <c r="AK357" s="746"/>
      <c r="AL357" s="746"/>
      <c r="AM357" s="746"/>
      <c r="AN357" s="746"/>
      <c r="AO357" s="746"/>
      <c r="AP357" s="746"/>
      <c r="AQ357" s="746"/>
      <c r="AR357" s="746"/>
      <c r="AS357" s="746"/>
      <c r="AT357" s="746"/>
      <c r="AU357" s="746"/>
      <c r="AV357" s="746"/>
      <c r="AW357" s="746"/>
      <c r="AX357" s="746"/>
      <c r="AY357" s="746"/>
      <c r="AZ357" s="746"/>
      <c r="BA357" s="746"/>
      <c r="BB357" s="746"/>
      <c r="BC357" s="746"/>
      <c r="BD357" s="746"/>
      <c r="BE357" s="746"/>
      <c r="BF357" s="746"/>
      <c r="BG357" s="746"/>
      <c r="BH357" s="746"/>
      <c r="BI357" s="746"/>
      <c r="BJ357" s="746"/>
      <c r="BK357" s="746"/>
      <c r="BL357" s="746"/>
      <c r="BM357" s="746"/>
      <c r="BN357" s="746"/>
      <c r="BO357" s="746"/>
      <c r="BP357" s="746"/>
      <c r="BQ357" s="746"/>
      <c r="BR357" s="746"/>
      <c r="BS357" s="746"/>
      <c r="BT357" s="746"/>
      <c r="BU357" s="746"/>
      <c r="BV357" s="746"/>
      <c r="BW357" s="746"/>
      <c r="BX357" s="746"/>
      <c r="BY357" s="746"/>
      <c r="BZ357" s="746"/>
      <c r="CA357" s="746"/>
      <c r="CB357" s="746"/>
      <c r="CC357" s="746"/>
    </row>
    <row r="358" spans="1:81" s="746" customFormat="1">
      <c r="A358" s="657"/>
      <c r="B358" s="3937" t="s">
        <v>72</v>
      </c>
      <c r="C358" s="3939"/>
      <c r="D358" s="730"/>
      <c r="E358" s="475">
        <f>SUM(E360)</f>
        <v>0</v>
      </c>
      <c r="F358" s="475">
        <f t="shared" ref="F358:G358" si="154">SUM(F360)</f>
        <v>0</v>
      </c>
      <c r="G358" s="475">
        <f t="shared" si="154"/>
        <v>1000000</v>
      </c>
      <c r="H358" s="258"/>
      <c r="I358" s="475">
        <f>SUM(I360)</f>
        <v>0</v>
      </c>
      <c r="J358" s="170">
        <f t="shared" ref="J358" si="155">SUM(J360)</f>
        <v>1000000</v>
      </c>
      <c r="K358" s="259"/>
      <c r="L358" s="139"/>
    </row>
    <row r="359" spans="1:81" s="746" customFormat="1" ht="51" hidden="1" customHeight="1">
      <c r="A359" s="657"/>
      <c r="B359" s="740"/>
      <c r="C359" s="731" t="s">
        <v>254</v>
      </c>
      <c r="D359" s="729">
        <v>6257</v>
      </c>
      <c r="E359" s="50">
        <v>0</v>
      </c>
      <c r="F359" s="51">
        <v>0</v>
      </c>
      <c r="G359" s="52">
        <v>0</v>
      </c>
      <c r="H359" s="53" t="e">
        <f t="shared" ref="H359" si="156">G359/E359</f>
        <v>#DIV/0!</v>
      </c>
      <c r="I359" s="98"/>
      <c r="J359" s="98"/>
      <c r="K359" s="56"/>
      <c r="L359" s="145"/>
    </row>
    <row r="360" spans="1:81" s="746" customFormat="1" ht="28.5" customHeight="1" thickBot="1">
      <c r="A360" s="711"/>
      <c r="B360" s="741"/>
      <c r="C360" s="252" t="s">
        <v>266</v>
      </c>
      <c r="D360" s="742">
        <v>6258</v>
      </c>
      <c r="E360" s="254">
        <v>0</v>
      </c>
      <c r="F360" s="589">
        <v>0</v>
      </c>
      <c r="G360" s="197">
        <v>1000000</v>
      </c>
      <c r="H360" s="198"/>
      <c r="I360" s="199">
        <v>0</v>
      </c>
      <c r="J360" s="410">
        <f t="shared" ref="J360" si="157">SUM(G360,I360)</f>
        <v>1000000</v>
      </c>
      <c r="K360" s="201"/>
      <c r="L360" s="212"/>
      <c r="N360" s="750"/>
    </row>
    <row r="361" spans="1:81" ht="15.75" thickBot="1">
      <c r="A361" s="751">
        <v>801</v>
      </c>
      <c r="B361" s="752"/>
      <c r="C361" s="753" t="s">
        <v>267</v>
      </c>
      <c r="D361" s="754"/>
      <c r="E361" s="166">
        <f>SUM(E362,E367,E371,E381,E398,E409,E413)</f>
        <v>104692</v>
      </c>
      <c r="F361" s="166">
        <f>SUM(F362,F367,F371,F381,F398,F409,F413)</f>
        <v>2018112</v>
      </c>
      <c r="G361" s="167">
        <f>SUM(G362,G367,G371,G381,G398,G409,G413)</f>
        <v>218454</v>
      </c>
      <c r="H361" s="393">
        <f t="shared" si="147"/>
        <v>2.0866350819546859</v>
      </c>
      <c r="I361" s="166">
        <f>SUM(I362,I367,I371,I381,I398,I409,I413)</f>
        <v>197352</v>
      </c>
      <c r="J361" s="166">
        <f>SUM(J362,J367,J371,J381,J398,J409,J413)</f>
        <v>415806</v>
      </c>
      <c r="K361" s="31">
        <f t="shared" si="144"/>
        <v>0.20603712777090666</v>
      </c>
      <c r="L361" s="639"/>
    </row>
    <row r="362" spans="1:81" ht="15.75" thickBot="1">
      <c r="A362" s="755"/>
      <c r="B362" s="713">
        <v>80102</v>
      </c>
      <c r="C362" s="756" t="s">
        <v>268</v>
      </c>
      <c r="D362" s="757"/>
      <c r="E362" s="159">
        <f t="shared" ref="E362:G362" si="158">SUM(E363,E366)</f>
        <v>2500</v>
      </c>
      <c r="F362" s="159">
        <f t="shared" si="158"/>
        <v>2500</v>
      </c>
      <c r="G362" s="160">
        <f t="shared" si="158"/>
        <v>2500</v>
      </c>
      <c r="H362" s="375">
        <f t="shared" si="147"/>
        <v>1</v>
      </c>
      <c r="I362" s="159">
        <f t="shared" ref="I362:J362" si="159">SUM(I363,I366)</f>
        <v>0</v>
      </c>
      <c r="J362" s="159">
        <f t="shared" si="159"/>
        <v>2500</v>
      </c>
      <c r="K362" s="40">
        <f t="shared" si="144"/>
        <v>1</v>
      </c>
      <c r="L362" s="135"/>
    </row>
    <row r="363" spans="1:81">
      <c r="A363" s="758"/>
      <c r="B363" s="3909" t="s">
        <v>25</v>
      </c>
      <c r="C363" s="3932"/>
      <c r="D363" s="759"/>
      <c r="E363" s="109">
        <f t="shared" ref="E363:F363" si="160">SUM(E364:E365)</f>
        <v>2500</v>
      </c>
      <c r="F363" s="109">
        <f t="shared" si="160"/>
        <v>2500</v>
      </c>
      <c r="G363" s="110">
        <f t="shared" ref="G363" si="161">SUM(G364:G365)</f>
        <v>2500</v>
      </c>
      <c r="H363" s="379">
        <f t="shared" si="147"/>
        <v>1</v>
      </c>
      <c r="I363" s="109">
        <f t="shared" ref="I363:J363" si="162">SUM(I364:I365)</f>
        <v>0</v>
      </c>
      <c r="J363" s="84">
        <f t="shared" si="162"/>
        <v>2500</v>
      </c>
      <c r="K363" s="47">
        <f t="shared" si="144"/>
        <v>1</v>
      </c>
      <c r="L363" s="139"/>
    </row>
    <row r="364" spans="1:81">
      <c r="A364" s="758"/>
      <c r="B364" s="3940"/>
      <c r="C364" s="760" t="s">
        <v>269</v>
      </c>
      <c r="D364" s="248" t="s">
        <v>29</v>
      </c>
      <c r="E364" s="50">
        <v>2500</v>
      </c>
      <c r="F364" s="51">
        <v>2500</v>
      </c>
      <c r="G364" s="52">
        <v>2500</v>
      </c>
      <c r="H364" s="53">
        <f t="shared" si="147"/>
        <v>1</v>
      </c>
      <c r="I364" s="98">
        <v>0</v>
      </c>
      <c r="J364" s="61">
        <f t="shared" ref="J364" si="163">SUM(G364,I364)</f>
        <v>2500</v>
      </c>
      <c r="K364" s="56">
        <f t="shared" si="144"/>
        <v>1</v>
      </c>
      <c r="L364" s="145"/>
    </row>
    <row r="365" spans="1:81" ht="38.25" hidden="1" customHeight="1">
      <c r="A365" s="758"/>
      <c r="B365" s="3941"/>
      <c r="C365" s="761" t="s">
        <v>270</v>
      </c>
      <c r="D365" s="60" t="s">
        <v>271</v>
      </c>
      <c r="E365" s="244"/>
      <c r="F365" s="51"/>
      <c r="G365" s="52"/>
      <c r="H365" s="53" t="e">
        <f t="shared" si="147"/>
        <v>#DIV/0!</v>
      </c>
      <c r="I365" s="98"/>
      <c r="J365" s="98"/>
      <c r="K365" s="56" t="e">
        <f t="shared" si="144"/>
        <v>#DIV/0!</v>
      </c>
      <c r="L365" s="142"/>
    </row>
    <row r="366" spans="1:81" ht="15.75" thickBot="1">
      <c r="A366" s="758"/>
      <c r="B366" s="3922" t="s">
        <v>30</v>
      </c>
      <c r="C366" s="3927"/>
      <c r="D366" s="763"/>
      <c r="E366" s="122">
        <v>0</v>
      </c>
      <c r="F366" s="122">
        <v>0</v>
      </c>
      <c r="G366" s="103">
        <v>0</v>
      </c>
      <c r="H366" s="420"/>
      <c r="I366" s="122">
        <v>0</v>
      </c>
      <c r="J366" s="122">
        <v>0</v>
      </c>
      <c r="K366" s="374"/>
      <c r="L366" s="260"/>
    </row>
    <row r="367" spans="1:81" ht="15.75" hidden="1" customHeight="1">
      <c r="A367" s="758"/>
      <c r="B367" s="764">
        <v>80116</v>
      </c>
      <c r="C367" s="765" t="s">
        <v>272</v>
      </c>
      <c r="D367" s="765"/>
      <c r="E367" s="766">
        <v>0</v>
      </c>
      <c r="F367" s="356"/>
      <c r="G367" s="357"/>
      <c r="H367" s="442" t="e">
        <f t="shared" si="147"/>
        <v>#DIV/0!</v>
      </c>
      <c r="I367" s="766">
        <v>0</v>
      </c>
      <c r="J367" s="766">
        <v>0</v>
      </c>
      <c r="K367" s="218" t="e">
        <f t="shared" si="144"/>
        <v>#DIV/0!</v>
      </c>
      <c r="L367" s="91"/>
    </row>
    <row r="368" spans="1:81" ht="15" hidden="1" customHeight="1" thickBot="1">
      <c r="A368" s="758"/>
      <c r="B368" s="3928" t="s">
        <v>25</v>
      </c>
      <c r="C368" s="3929"/>
      <c r="D368" s="767"/>
      <c r="E368" s="444">
        <v>0</v>
      </c>
      <c r="F368" s="75"/>
      <c r="G368" s="76"/>
      <c r="H368" s="53" t="e">
        <f t="shared" si="147"/>
        <v>#DIV/0!</v>
      </c>
      <c r="I368" s="444">
        <v>0</v>
      </c>
      <c r="J368" s="444">
        <v>0</v>
      </c>
      <c r="K368" s="56" t="e">
        <f t="shared" si="144"/>
        <v>#DIV/0!</v>
      </c>
      <c r="L368" s="91"/>
    </row>
    <row r="369" spans="1:12" ht="30" hidden="1" customHeight="1" thickBot="1">
      <c r="A369" s="758"/>
      <c r="B369" s="769"/>
      <c r="C369" s="770" t="s">
        <v>273</v>
      </c>
      <c r="D369" s="771" t="s">
        <v>274</v>
      </c>
      <c r="E369" s="447">
        <v>0</v>
      </c>
      <c r="F369" s="75"/>
      <c r="G369" s="76"/>
      <c r="H369" s="53" t="e">
        <f t="shared" si="147"/>
        <v>#DIV/0!</v>
      </c>
      <c r="I369" s="447">
        <v>0</v>
      </c>
      <c r="J369" s="447">
        <v>0</v>
      </c>
      <c r="K369" s="56" t="e">
        <f t="shared" si="144"/>
        <v>#DIV/0!</v>
      </c>
      <c r="L369" s="91"/>
    </row>
    <row r="370" spans="1:12" ht="15.75" hidden="1" customHeight="1" thickBot="1">
      <c r="A370" s="758"/>
      <c r="B370" s="3930" t="s">
        <v>30</v>
      </c>
      <c r="C370" s="3931"/>
      <c r="D370" s="767"/>
      <c r="E370" s="698">
        <v>0</v>
      </c>
      <c r="F370" s="363"/>
      <c r="G370" s="364"/>
      <c r="H370" s="450" t="e">
        <f t="shared" si="147"/>
        <v>#DIV/0!</v>
      </c>
      <c r="I370" s="698">
        <v>0</v>
      </c>
      <c r="J370" s="698">
        <v>0</v>
      </c>
      <c r="K370" s="78" t="e">
        <f t="shared" si="144"/>
        <v>#DIV/0!</v>
      </c>
      <c r="L370" s="79"/>
    </row>
    <row r="371" spans="1:12" ht="15.75" thickBot="1">
      <c r="A371" s="758"/>
      <c r="B371" s="713">
        <v>80130</v>
      </c>
      <c r="C371" s="757" t="s">
        <v>275</v>
      </c>
      <c r="D371" s="757"/>
      <c r="E371" s="80">
        <f>SUM(E372,E380)</f>
        <v>6350</v>
      </c>
      <c r="F371" s="80">
        <f>SUM(F372,F380)</f>
        <v>34120</v>
      </c>
      <c r="G371" s="81">
        <f>SUM(G372,G380)</f>
        <v>6475</v>
      </c>
      <c r="H371" s="375">
        <f t="shared" si="147"/>
        <v>1.0196850393700787</v>
      </c>
      <c r="I371" s="80">
        <f>SUM(I372,I380)</f>
        <v>0</v>
      </c>
      <c r="J371" s="80">
        <f>SUM(J372,J380)</f>
        <v>6475</v>
      </c>
      <c r="K371" s="82">
        <f t="shared" si="144"/>
        <v>0.18977139507620164</v>
      </c>
      <c r="L371" s="41"/>
    </row>
    <row r="372" spans="1:12">
      <c r="A372" s="758"/>
      <c r="B372" s="3908" t="s">
        <v>25</v>
      </c>
      <c r="C372" s="3932"/>
      <c r="D372" s="759"/>
      <c r="E372" s="109">
        <f>SUM(E373:E379)</f>
        <v>6350</v>
      </c>
      <c r="F372" s="109">
        <f>SUM(F373:F379)</f>
        <v>34120</v>
      </c>
      <c r="G372" s="110">
        <f>SUM(G373:G379)</f>
        <v>6475</v>
      </c>
      <c r="H372" s="379">
        <f t="shared" si="147"/>
        <v>1.0196850393700787</v>
      </c>
      <c r="I372" s="109">
        <f>SUM(I373:I379)</f>
        <v>0</v>
      </c>
      <c r="J372" s="84">
        <f>SUM(J373:J379)</f>
        <v>6475</v>
      </c>
      <c r="K372" s="47">
        <f t="shared" si="144"/>
        <v>0.18977139507620164</v>
      </c>
      <c r="L372" s="48"/>
    </row>
    <row r="373" spans="1:12" ht="16.5" hidden="1" customHeight="1">
      <c r="A373" s="758"/>
      <c r="B373" s="715"/>
      <c r="C373" s="3933" t="s">
        <v>269</v>
      </c>
      <c r="D373" s="49" t="s">
        <v>27</v>
      </c>
      <c r="E373" s="467">
        <v>0</v>
      </c>
      <c r="F373" s="51">
        <v>0</v>
      </c>
      <c r="G373" s="52">
        <v>0</v>
      </c>
      <c r="H373" s="53" t="e">
        <f t="shared" si="147"/>
        <v>#DIV/0!</v>
      </c>
      <c r="I373" s="98"/>
      <c r="J373" s="98"/>
      <c r="K373" s="56" t="e">
        <f t="shared" si="144"/>
        <v>#DIV/0!</v>
      </c>
      <c r="L373" s="91"/>
    </row>
    <row r="374" spans="1:12" ht="16.5" hidden="1" customHeight="1">
      <c r="A374" s="758"/>
      <c r="B374" s="723"/>
      <c r="C374" s="3934"/>
      <c r="D374" s="49" t="s">
        <v>28</v>
      </c>
      <c r="E374" s="467">
        <v>0</v>
      </c>
      <c r="F374" s="51">
        <v>0</v>
      </c>
      <c r="G374" s="52">
        <v>0</v>
      </c>
      <c r="H374" s="53" t="e">
        <f t="shared" si="147"/>
        <v>#DIV/0!</v>
      </c>
      <c r="I374" s="98"/>
      <c r="J374" s="98"/>
      <c r="K374" s="56" t="e">
        <f t="shared" si="144"/>
        <v>#DIV/0!</v>
      </c>
      <c r="L374" s="91"/>
    </row>
    <row r="375" spans="1:12" ht="16.5" hidden="1" customHeight="1">
      <c r="A375" s="758"/>
      <c r="B375" s="723"/>
      <c r="C375" s="3934"/>
      <c r="D375" s="49" t="s">
        <v>52</v>
      </c>
      <c r="E375" s="673">
        <v>0</v>
      </c>
      <c r="F375" s="51">
        <v>0</v>
      </c>
      <c r="G375" s="52">
        <v>0</v>
      </c>
      <c r="H375" s="53" t="e">
        <f t="shared" si="147"/>
        <v>#DIV/0!</v>
      </c>
      <c r="I375" s="98"/>
      <c r="J375" s="98"/>
      <c r="K375" s="56" t="e">
        <f t="shared" si="144"/>
        <v>#DIV/0!</v>
      </c>
      <c r="L375" s="91"/>
    </row>
    <row r="376" spans="1:12" ht="15" customHeight="1">
      <c r="A376" s="758"/>
      <c r="B376" s="723"/>
      <c r="C376" s="3935"/>
      <c r="D376" s="49" t="s">
        <v>29</v>
      </c>
      <c r="E376" s="50">
        <v>6350</v>
      </c>
      <c r="F376" s="51">
        <v>6350</v>
      </c>
      <c r="G376" s="52">
        <v>6475</v>
      </c>
      <c r="H376" s="53">
        <f t="shared" si="147"/>
        <v>1.0196850393700787</v>
      </c>
      <c r="I376" s="98">
        <v>0</v>
      </c>
      <c r="J376" s="61">
        <f t="shared" ref="J376:J378" si="164">SUM(G376,I376)</f>
        <v>6475</v>
      </c>
      <c r="K376" s="56">
        <f t="shared" si="144"/>
        <v>1.0196850393700787</v>
      </c>
      <c r="L376" s="99"/>
    </row>
    <row r="377" spans="1:12" ht="44.25" hidden="1" customHeight="1">
      <c r="A377" s="758"/>
      <c r="B377" s="723"/>
      <c r="C377" s="774" t="s">
        <v>276</v>
      </c>
      <c r="D377" s="49" t="s">
        <v>183</v>
      </c>
      <c r="E377" s="50">
        <v>0</v>
      </c>
      <c r="F377" s="51">
        <v>26184</v>
      </c>
      <c r="G377" s="52">
        <v>0</v>
      </c>
      <c r="H377" s="53"/>
      <c r="I377" s="98">
        <v>0</v>
      </c>
      <c r="J377" s="61">
        <f t="shared" si="164"/>
        <v>0</v>
      </c>
      <c r="K377" s="56">
        <f t="shared" si="144"/>
        <v>0</v>
      </c>
      <c r="L377" s="99"/>
    </row>
    <row r="378" spans="1:12" ht="45" hidden="1" customHeight="1">
      <c r="A378" s="758"/>
      <c r="B378" s="723"/>
      <c r="C378" s="775" t="s">
        <v>277</v>
      </c>
      <c r="D378" s="49" t="s">
        <v>185</v>
      </c>
      <c r="E378" s="50">
        <v>0</v>
      </c>
      <c r="F378" s="51">
        <v>1586</v>
      </c>
      <c r="G378" s="52">
        <v>0</v>
      </c>
      <c r="H378" s="53"/>
      <c r="I378" s="98">
        <v>0</v>
      </c>
      <c r="J378" s="61">
        <f t="shared" si="164"/>
        <v>0</v>
      </c>
      <c r="K378" s="56">
        <f t="shared" si="144"/>
        <v>0</v>
      </c>
      <c r="L378" s="99"/>
    </row>
    <row r="379" spans="1:12" ht="42" hidden="1" customHeight="1">
      <c r="A379" s="758"/>
      <c r="B379" s="776"/>
      <c r="C379" s="777" t="s">
        <v>270</v>
      </c>
      <c r="D379" s="49" t="s">
        <v>271</v>
      </c>
      <c r="E379" s="673">
        <v>0</v>
      </c>
      <c r="F379" s="51">
        <v>0</v>
      </c>
      <c r="G379" s="52">
        <v>0</v>
      </c>
      <c r="H379" s="53"/>
      <c r="I379" s="98"/>
      <c r="J379" s="98"/>
      <c r="K379" s="56" t="e">
        <f t="shared" si="144"/>
        <v>#DIV/0!</v>
      </c>
      <c r="L379" s="91"/>
    </row>
    <row r="380" spans="1:12" ht="15" customHeight="1" thickBot="1">
      <c r="A380" s="758"/>
      <c r="B380" s="3936" t="s">
        <v>30</v>
      </c>
      <c r="C380" s="3927"/>
      <c r="D380" s="778"/>
      <c r="E380" s="102">
        <v>0</v>
      </c>
      <c r="F380" s="102">
        <v>0</v>
      </c>
      <c r="G380" s="164">
        <v>0</v>
      </c>
      <c r="H380" s="387"/>
      <c r="I380" s="102">
        <v>0</v>
      </c>
      <c r="J380" s="102">
        <v>0</v>
      </c>
      <c r="K380" s="287"/>
      <c r="L380" s="105"/>
    </row>
    <row r="381" spans="1:12" ht="15" customHeight="1" thickBot="1">
      <c r="A381" s="758"/>
      <c r="B381" s="713">
        <v>80146</v>
      </c>
      <c r="C381" s="757" t="s">
        <v>278</v>
      </c>
      <c r="D381" s="757"/>
      <c r="E381" s="80">
        <f>SUM(E382,E397)</f>
        <v>64742</v>
      </c>
      <c r="F381" s="80">
        <f>SUM(F382,F397)</f>
        <v>1649915</v>
      </c>
      <c r="G381" s="81">
        <f>SUM(G382,G397)</f>
        <v>153135</v>
      </c>
      <c r="H381" s="375">
        <f t="shared" si="147"/>
        <v>2.3653115442834638</v>
      </c>
      <c r="I381" s="80">
        <f>SUM(I382,I397)</f>
        <v>0</v>
      </c>
      <c r="J381" s="80">
        <f>SUM(J382,J397)</f>
        <v>153135</v>
      </c>
      <c r="K381" s="82">
        <f t="shared" si="144"/>
        <v>9.2813872229781533E-2</v>
      </c>
      <c r="L381" s="41"/>
    </row>
    <row r="382" spans="1:12" ht="15" customHeight="1">
      <c r="A382" s="758"/>
      <c r="B382" s="3946" t="s">
        <v>25</v>
      </c>
      <c r="C382" s="3932"/>
      <c r="D382" s="779"/>
      <c r="E382" s="84">
        <f>SUM(E383:E396)</f>
        <v>64742</v>
      </c>
      <c r="F382" s="84">
        <f>SUM(F383:F396)</f>
        <v>1649915</v>
      </c>
      <c r="G382" s="85">
        <f>SUM(G383:G396)</f>
        <v>153135</v>
      </c>
      <c r="H382" s="379">
        <f t="shared" si="147"/>
        <v>2.3653115442834638</v>
      </c>
      <c r="I382" s="84">
        <f>SUM(I383:I396)</f>
        <v>0</v>
      </c>
      <c r="J382" s="84">
        <f>SUM(J383:J396)</f>
        <v>153135</v>
      </c>
      <c r="K382" s="47">
        <f t="shared" si="144"/>
        <v>9.2813872229781533E-2</v>
      </c>
      <c r="L382" s="48"/>
    </row>
    <row r="383" spans="1:12" ht="15" customHeight="1">
      <c r="A383" s="758"/>
      <c r="B383" s="780"/>
      <c r="C383" s="3933" t="s">
        <v>269</v>
      </c>
      <c r="D383" s="781" t="s">
        <v>27</v>
      </c>
      <c r="E383" s="50">
        <v>4657</v>
      </c>
      <c r="F383" s="51">
        <v>4657</v>
      </c>
      <c r="G383" s="52">
        <v>4657</v>
      </c>
      <c r="H383" s="53">
        <f t="shared" si="147"/>
        <v>1</v>
      </c>
      <c r="I383" s="98">
        <v>0</v>
      </c>
      <c r="J383" s="61">
        <f t="shared" ref="J383:J441" si="165">SUM(G383,I383)</f>
        <v>4657</v>
      </c>
      <c r="K383" s="56">
        <f t="shared" si="144"/>
        <v>1</v>
      </c>
      <c r="L383" s="99"/>
    </row>
    <row r="384" spans="1:12" ht="15" customHeight="1">
      <c r="A384" s="758"/>
      <c r="B384" s="782"/>
      <c r="C384" s="3935"/>
      <c r="D384" s="781" t="s">
        <v>29</v>
      </c>
      <c r="E384" s="50">
        <v>0</v>
      </c>
      <c r="F384" s="51">
        <v>0</v>
      </c>
      <c r="G384" s="52">
        <v>2835</v>
      </c>
      <c r="H384" s="53"/>
      <c r="I384" s="98">
        <v>0</v>
      </c>
      <c r="J384" s="61">
        <f t="shared" si="165"/>
        <v>2835</v>
      </c>
      <c r="K384" s="56"/>
      <c r="L384" s="99"/>
    </row>
    <row r="385" spans="1:12" ht="52.5" hidden="1" customHeight="1">
      <c r="A385" s="758"/>
      <c r="B385" s="782"/>
      <c r="C385" s="777" t="s">
        <v>279</v>
      </c>
      <c r="D385" s="783" t="s">
        <v>280</v>
      </c>
      <c r="E385" s="244">
        <v>0</v>
      </c>
      <c r="F385" s="249"/>
      <c r="G385" s="250"/>
      <c r="H385" s="53" t="e">
        <f t="shared" si="147"/>
        <v>#DIV/0!</v>
      </c>
      <c r="I385" s="61"/>
      <c r="J385" s="61">
        <f t="shared" si="165"/>
        <v>0</v>
      </c>
      <c r="K385" s="56" t="e">
        <f t="shared" si="144"/>
        <v>#DIV/0!</v>
      </c>
      <c r="L385" s="276"/>
    </row>
    <row r="386" spans="1:12" ht="66" hidden="1" customHeight="1">
      <c r="A386" s="758"/>
      <c r="B386" s="782"/>
      <c r="C386" s="777" t="s">
        <v>281</v>
      </c>
      <c r="D386" s="784" t="s">
        <v>196</v>
      </c>
      <c r="E386" s="50">
        <v>0</v>
      </c>
      <c r="F386" s="51"/>
      <c r="G386" s="52"/>
      <c r="H386" s="53" t="e">
        <f t="shared" si="147"/>
        <v>#DIV/0!</v>
      </c>
      <c r="I386" s="98"/>
      <c r="J386" s="61">
        <f t="shared" si="165"/>
        <v>0</v>
      </c>
      <c r="K386" s="56" t="e">
        <f t="shared" si="144"/>
        <v>#DIV/0!</v>
      </c>
      <c r="L386" s="99"/>
    </row>
    <row r="387" spans="1:12" ht="59.25" hidden="1" customHeight="1">
      <c r="A387" s="758"/>
      <c r="B387" s="782"/>
      <c r="C387" s="785" t="s">
        <v>282</v>
      </c>
      <c r="D387" s="3947" t="s">
        <v>183</v>
      </c>
      <c r="E387" s="50">
        <v>0</v>
      </c>
      <c r="F387" s="51"/>
      <c r="G387" s="52"/>
      <c r="H387" s="53" t="e">
        <f t="shared" si="147"/>
        <v>#DIV/0!</v>
      </c>
      <c r="I387" s="98"/>
      <c r="J387" s="61">
        <f t="shared" si="165"/>
        <v>0</v>
      </c>
      <c r="K387" s="56" t="e">
        <f t="shared" si="144"/>
        <v>#DIV/0!</v>
      </c>
      <c r="L387" s="99"/>
    </row>
    <row r="388" spans="1:12" ht="51" hidden="1" customHeight="1">
      <c r="A388" s="758"/>
      <c r="B388" s="782"/>
      <c r="C388" s="787" t="s">
        <v>283</v>
      </c>
      <c r="D388" s="3948"/>
      <c r="E388" s="254">
        <v>0</v>
      </c>
      <c r="F388" s="51"/>
      <c r="G388" s="52"/>
      <c r="H388" s="53" t="e">
        <f t="shared" si="147"/>
        <v>#DIV/0!</v>
      </c>
      <c r="I388" s="98"/>
      <c r="J388" s="61">
        <f t="shared" si="165"/>
        <v>0</v>
      </c>
      <c r="K388" s="56" t="e">
        <f t="shared" si="144"/>
        <v>#DIV/0!</v>
      </c>
      <c r="L388" s="99"/>
    </row>
    <row r="389" spans="1:12" ht="51" customHeight="1">
      <c r="A389" s="758"/>
      <c r="B389" s="782"/>
      <c r="C389" s="788" t="s">
        <v>284</v>
      </c>
      <c r="D389" s="3947" t="s">
        <v>183</v>
      </c>
      <c r="E389" s="244">
        <v>50850</v>
      </c>
      <c r="F389" s="51">
        <f>50850+83784</f>
        <v>134634</v>
      </c>
      <c r="G389" s="52">
        <v>18808</v>
      </c>
      <c r="H389" s="53">
        <f t="shared" si="147"/>
        <v>0.36987217305801379</v>
      </c>
      <c r="I389" s="98">
        <v>0</v>
      </c>
      <c r="J389" s="61">
        <f t="shared" si="165"/>
        <v>18808</v>
      </c>
      <c r="K389" s="56">
        <f t="shared" si="144"/>
        <v>0.13969725329411589</v>
      </c>
      <c r="L389" s="99"/>
    </row>
    <row r="390" spans="1:12" ht="51.75" hidden="1" customHeight="1">
      <c r="A390" s="758"/>
      <c r="B390" s="782"/>
      <c r="C390" s="724" t="s">
        <v>285</v>
      </c>
      <c r="D390" s="3948"/>
      <c r="E390" s="50">
        <v>0</v>
      </c>
      <c r="F390" s="51">
        <v>52043</v>
      </c>
      <c r="G390" s="52">
        <v>0</v>
      </c>
      <c r="H390" s="53"/>
      <c r="I390" s="98">
        <v>0</v>
      </c>
      <c r="J390" s="61">
        <f t="shared" si="165"/>
        <v>0</v>
      </c>
      <c r="K390" s="56">
        <f t="shared" si="144"/>
        <v>0</v>
      </c>
      <c r="L390" s="99"/>
    </row>
    <row r="391" spans="1:12" ht="50.25" customHeight="1">
      <c r="A391" s="758"/>
      <c r="B391" s="782"/>
      <c r="C391" s="788" t="s">
        <v>286</v>
      </c>
      <c r="D391" s="3948"/>
      <c r="E391" s="244">
        <v>0</v>
      </c>
      <c r="F391" s="249">
        <v>163889</v>
      </c>
      <c r="G391" s="250">
        <v>104449</v>
      </c>
      <c r="H391" s="53"/>
      <c r="I391" s="61">
        <v>0</v>
      </c>
      <c r="J391" s="61">
        <f t="shared" si="165"/>
        <v>104449</v>
      </c>
      <c r="K391" s="56">
        <f t="shared" si="144"/>
        <v>0.63731550012508464</v>
      </c>
      <c r="L391" s="276"/>
    </row>
    <row r="392" spans="1:12" ht="40.5" customHeight="1">
      <c r="A392" s="758"/>
      <c r="B392" s="782"/>
      <c r="C392" s="789" t="s">
        <v>287</v>
      </c>
      <c r="D392" s="3949" t="s">
        <v>185</v>
      </c>
      <c r="E392" s="50">
        <v>9235</v>
      </c>
      <c r="F392" s="51">
        <f>9235+15216</f>
        <v>24451</v>
      </c>
      <c r="G392" s="52">
        <v>3416</v>
      </c>
      <c r="H392" s="53">
        <f t="shared" si="147"/>
        <v>0.36989713048186246</v>
      </c>
      <c r="I392" s="98">
        <v>0</v>
      </c>
      <c r="J392" s="98">
        <f t="shared" si="165"/>
        <v>3416</v>
      </c>
      <c r="K392" s="56">
        <f t="shared" si="144"/>
        <v>0.1397079874033782</v>
      </c>
      <c r="L392" s="99"/>
    </row>
    <row r="393" spans="1:12" ht="89.25" hidden="1" customHeight="1">
      <c r="A393" s="758"/>
      <c r="B393" s="782"/>
      <c r="C393" s="724" t="s">
        <v>288</v>
      </c>
      <c r="D393" s="3950"/>
      <c r="E393" s="244">
        <v>0</v>
      </c>
      <c r="F393" s="51">
        <v>9707</v>
      </c>
      <c r="G393" s="52">
        <v>0</v>
      </c>
      <c r="H393" s="53"/>
      <c r="I393" s="98">
        <v>0</v>
      </c>
      <c r="J393" s="61">
        <f t="shared" si="165"/>
        <v>0</v>
      </c>
      <c r="K393" s="56">
        <f t="shared" si="144"/>
        <v>0</v>
      </c>
      <c r="L393" s="99"/>
    </row>
    <row r="394" spans="1:12" ht="38.25" customHeight="1">
      <c r="A394" s="758"/>
      <c r="B394" s="782"/>
      <c r="C394" s="791" t="s">
        <v>289</v>
      </c>
      <c r="D394" s="3951"/>
      <c r="E394" s="244">
        <v>0</v>
      </c>
      <c r="F394" s="51">
        <v>29764</v>
      </c>
      <c r="G394" s="52">
        <v>18970</v>
      </c>
      <c r="H394" s="53"/>
      <c r="I394" s="98">
        <v>0</v>
      </c>
      <c r="J394" s="61">
        <f t="shared" si="165"/>
        <v>18970</v>
      </c>
      <c r="K394" s="56">
        <f t="shared" ref="K394:K457" si="166">J394/F394</f>
        <v>0.63734713076199434</v>
      </c>
      <c r="L394" s="99"/>
    </row>
    <row r="395" spans="1:12" s="1" customFormat="1" ht="39.75" hidden="1" customHeight="1">
      <c r="A395" s="792"/>
      <c r="B395" s="793"/>
      <c r="C395" s="794" t="s">
        <v>192</v>
      </c>
      <c r="D395" s="784" t="s">
        <v>290</v>
      </c>
      <c r="E395" s="244">
        <v>0</v>
      </c>
      <c r="F395" s="249">
        <v>1230770</v>
      </c>
      <c r="G395" s="250">
        <v>0</v>
      </c>
      <c r="H395" s="442"/>
      <c r="I395" s="61">
        <v>0</v>
      </c>
      <c r="J395" s="61">
        <f t="shared" si="165"/>
        <v>0</v>
      </c>
      <c r="K395" s="56">
        <f t="shared" si="166"/>
        <v>0</v>
      </c>
      <c r="L395" s="96"/>
    </row>
    <row r="396" spans="1:12" ht="30" hidden="1" customHeight="1">
      <c r="A396" s="758"/>
      <c r="B396" s="795"/>
      <c r="C396" s="789" t="s">
        <v>270</v>
      </c>
      <c r="D396" s="49" t="s">
        <v>271</v>
      </c>
      <c r="E396" s="97">
        <v>0</v>
      </c>
      <c r="F396" s="400">
        <v>0</v>
      </c>
      <c r="G396" s="151">
        <v>0</v>
      </c>
      <c r="H396" s="53"/>
      <c r="I396" s="98"/>
      <c r="J396" s="98"/>
      <c r="K396" s="56" t="e">
        <f t="shared" si="166"/>
        <v>#DIV/0!</v>
      </c>
      <c r="L396" s="91"/>
    </row>
    <row r="397" spans="1:12" ht="15" customHeight="1" thickBot="1">
      <c r="A397" s="758"/>
      <c r="B397" s="3936" t="s">
        <v>30</v>
      </c>
      <c r="C397" s="3927"/>
      <c r="D397" s="796"/>
      <c r="E397" s="102">
        <v>0</v>
      </c>
      <c r="F397" s="102">
        <v>0</v>
      </c>
      <c r="G397" s="164">
        <v>0</v>
      </c>
      <c r="H397" s="387"/>
      <c r="I397" s="102">
        <v>0</v>
      </c>
      <c r="J397" s="102">
        <v>0</v>
      </c>
      <c r="K397" s="287"/>
      <c r="L397" s="105"/>
    </row>
    <row r="398" spans="1:12" s="1" customFormat="1" ht="18" customHeight="1" thickBot="1">
      <c r="A398" s="792"/>
      <c r="B398" s="713">
        <v>80147</v>
      </c>
      <c r="C398" s="757" t="s">
        <v>291</v>
      </c>
      <c r="D398" s="797"/>
      <c r="E398" s="472">
        <f>SUM(E408,E399)</f>
        <v>31100</v>
      </c>
      <c r="F398" s="472">
        <f>SUM(F408,F399)</f>
        <v>76697</v>
      </c>
      <c r="G398" s="81">
        <f>SUM(G408,G399)</f>
        <v>20495</v>
      </c>
      <c r="H398" s="375">
        <f t="shared" si="147"/>
        <v>0.65900321543408358</v>
      </c>
      <c r="I398" s="472">
        <f>SUM(I408,I399)</f>
        <v>0</v>
      </c>
      <c r="J398" s="472">
        <f>SUM(J408,J399)</f>
        <v>20495</v>
      </c>
      <c r="K398" s="82">
        <f t="shared" si="166"/>
        <v>0.26722036063992072</v>
      </c>
      <c r="L398" s="135"/>
    </row>
    <row r="399" spans="1:12" s="1" customFormat="1">
      <c r="A399" s="792"/>
      <c r="B399" s="3908" t="s">
        <v>25</v>
      </c>
      <c r="C399" s="3932"/>
      <c r="D399" s="759"/>
      <c r="E399" s="109">
        <f>SUM(E400:E407)</f>
        <v>31100</v>
      </c>
      <c r="F399" s="109">
        <f>SUM(F400:F407)</f>
        <v>76697</v>
      </c>
      <c r="G399" s="110">
        <f>SUM(G400:G407)</f>
        <v>20495</v>
      </c>
      <c r="H399" s="379">
        <f t="shared" si="147"/>
        <v>0.65900321543408358</v>
      </c>
      <c r="I399" s="109">
        <f>SUM(I400:I407)</f>
        <v>0</v>
      </c>
      <c r="J399" s="84">
        <f>SUM(J400:J407)</f>
        <v>20495</v>
      </c>
      <c r="K399" s="47">
        <f t="shared" si="166"/>
        <v>0.26722036063992072</v>
      </c>
      <c r="L399" s="139"/>
    </row>
    <row r="400" spans="1:12" s="1" customFormat="1" ht="15" customHeight="1">
      <c r="A400" s="792"/>
      <c r="B400" s="723"/>
      <c r="C400" s="3942" t="s">
        <v>292</v>
      </c>
      <c r="D400" s="49" t="s">
        <v>27</v>
      </c>
      <c r="E400" s="97">
        <v>0</v>
      </c>
      <c r="F400" s="51">
        <v>0</v>
      </c>
      <c r="G400" s="52">
        <v>11340</v>
      </c>
      <c r="H400" s="53"/>
      <c r="I400" s="98">
        <v>0</v>
      </c>
      <c r="J400" s="61">
        <f t="shared" si="165"/>
        <v>11340</v>
      </c>
      <c r="K400" s="56"/>
      <c r="L400" s="142"/>
    </row>
    <row r="401" spans="1:12" s="1" customFormat="1">
      <c r="A401" s="792"/>
      <c r="B401" s="723"/>
      <c r="C401" s="3943"/>
      <c r="D401" s="49" t="s">
        <v>28</v>
      </c>
      <c r="E401" s="50">
        <v>4000</v>
      </c>
      <c r="F401" s="51">
        <v>4000</v>
      </c>
      <c r="G401" s="52">
        <v>7732</v>
      </c>
      <c r="H401" s="53">
        <f t="shared" si="147"/>
        <v>1.9330000000000001</v>
      </c>
      <c r="I401" s="98">
        <v>0</v>
      </c>
      <c r="J401" s="61">
        <f t="shared" si="165"/>
        <v>7732</v>
      </c>
      <c r="K401" s="56">
        <f t="shared" si="166"/>
        <v>1.9330000000000001</v>
      </c>
      <c r="L401" s="145"/>
    </row>
    <row r="402" spans="1:12" s="1" customFormat="1" hidden="1">
      <c r="A402" s="792"/>
      <c r="B402" s="723"/>
      <c r="C402" s="3943"/>
      <c r="D402" s="49" t="s">
        <v>52</v>
      </c>
      <c r="E402" s="50">
        <v>500</v>
      </c>
      <c r="F402" s="51">
        <v>500</v>
      </c>
      <c r="G402" s="52">
        <v>0</v>
      </c>
      <c r="H402" s="53">
        <f t="shared" si="147"/>
        <v>0</v>
      </c>
      <c r="I402" s="98">
        <v>0</v>
      </c>
      <c r="J402" s="61">
        <f t="shared" si="165"/>
        <v>0</v>
      </c>
      <c r="K402" s="56">
        <f t="shared" si="166"/>
        <v>0</v>
      </c>
      <c r="L402" s="145"/>
    </row>
    <row r="403" spans="1:12" s="1" customFormat="1" ht="15" hidden="1" customHeight="1">
      <c r="A403" s="792"/>
      <c r="B403" s="723"/>
      <c r="C403" s="3943"/>
      <c r="D403" s="49" t="s">
        <v>36</v>
      </c>
      <c r="E403" s="50">
        <v>0</v>
      </c>
      <c r="F403" s="51"/>
      <c r="G403" s="52"/>
      <c r="H403" s="53" t="e">
        <f t="shared" si="147"/>
        <v>#DIV/0!</v>
      </c>
      <c r="I403" s="98"/>
      <c r="J403" s="61">
        <f t="shared" si="165"/>
        <v>0</v>
      </c>
      <c r="K403" s="56" t="e">
        <f t="shared" si="166"/>
        <v>#DIV/0!</v>
      </c>
      <c r="L403" s="145"/>
    </row>
    <row r="404" spans="1:12" s="1" customFormat="1">
      <c r="A404" s="792"/>
      <c r="B404" s="723"/>
      <c r="C404" s="3943"/>
      <c r="D404" s="49" t="s">
        <v>29</v>
      </c>
      <c r="E404" s="50">
        <v>26600</v>
      </c>
      <c r="F404" s="51">
        <v>26600</v>
      </c>
      <c r="G404" s="52">
        <v>1423</v>
      </c>
      <c r="H404" s="53">
        <f t="shared" si="147"/>
        <v>5.3496240601503757E-2</v>
      </c>
      <c r="I404" s="98">
        <v>0</v>
      </c>
      <c r="J404" s="61">
        <f t="shared" si="165"/>
        <v>1423</v>
      </c>
      <c r="K404" s="56">
        <f t="shared" si="166"/>
        <v>5.3496240601503757E-2</v>
      </c>
      <c r="L404" s="145"/>
    </row>
    <row r="405" spans="1:12" s="1" customFormat="1" ht="39" hidden="1" customHeight="1">
      <c r="A405" s="792"/>
      <c r="B405" s="723"/>
      <c r="C405" s="271" t="s">
        <v>293</v>
      </c>
      <c r="D405" s="49" t="s">
        <v>183</v>
      </c>
      <c r="E405" s="50">
        <v>0</v>
      </c>
      <c r="F405" s="51">
        <v>38429</v>
      </c>
      <c r="G405" s="52">
        <v>0</v>
      </c>
      <c r="H405" s="53"/>
      <c r="I405" s="98">
        <v>0</v>
      </c>
      <c r="J405" s="61">
        <f t="shared" si="165"/>
        <v>0</v>
      </c>
      <c r="K405" s="56">
        <f t="shared" si="166"/>
        <v>0</v>
      </c>
      <c r="L405" s="145"/>
    </row>
    <row r="406" spans="1:12" s="1" customFormat="1" ht="40.5" hidden="1" customHeight="1">
      <c r="A406" s="792"/>
      <c r="B406" s="776"/>
      <c r="C406" s="798" t="s">
        <v>294</v>
      </c>
      <c r="D406" s="60" t="s">
        <v>185</v>
      </c>
      <c r="E406" s="90">
        <v>0</v>
      </c>
      <c r="F406" s="249">
        <v>7168</v>
      </c>
      <c r="G406" s="250">
        <v>0</v>
      </c>
      <c r="H406" s="53"/>
      <c r="I406" s="61">
        <v>0</v>
      </c>
      <c r="J406" s="61">
        <f t="shared" si="165"/>
        <v>0</v>
      </c>
      <c r="K406" s="56">
        <f t="shared" si="166"/>
        <v>0</v>
      </c>
      <c r="L406" s="96"/>
    </row>
    <row r="407" spans="1:12" s="1" customFormat="1" ht="33" hidden="1" customHeight="1">
      <c r="A407" s="792"/>
      <c r="B407" s="776"/>
      <c r="C407" s="799" t="s">
        <v>270</v>
      </c>
      <c r="D407" s="49" t="s">
        <v>271</v>
      </c>
      <c r="E407" s="50">
        <v>0</v>
      </c>
      <c r="F407" s="51">
        <v>0</v>
      </c>
      <c r="G407" s="52">
        <v>0</v>
      </c>
      <c r="H407" s="53"/>
      <c r="I407" s="98"/>
      <c r="J407" s="98"/>
      <c r="K407" s="56" t="e">
        <f t="shared" si="166"/>
        <v>#DIV/0!</v>
      </c>
      <c r="L407" s="142"/>
    </row>
    <row r="408" spans="1:12" s="1" customFormat="1" ht="15.75" thickBot="1">
      <c r="A408" s="792"/>
      <c r="B408" s="3936" t="s">
        <v>30</v>
      </c>
      <c r="C408" s="3927"/>
      <c r="D408" s="796"/>
      <c r="E408" s="102">
        <v>0</v>
      </c>
      <c r="F408" s="102">
        <v>0</v>
      </c>
      <c r="G408" s="164">
        <v>0</v>
      </c>
      <c r="H408" s="269"/>
      <c r="I408" s="102">
        <v>0</v>
      </c>
      <c r="J408" s="102">
        <v>0</v>
      </c>
      <c r="K408" s="259"/>
      <c r="L408" s="260"/>
    </row>
    <row r="409" spans="1:12" ht="39" hidden="1" customHeight="1">
      <c r="A409" s="758"/>
      <c r="B409" s="800">
        <v>80153</v>
      </c>
      <c r="C409" s="801" t="s">
        <v>295</v>
      </c>
      <c r="D409" s="802"/>
      <c r="E409" s="803">
        <v>0</v>
      </c>
      <c r="F409" s="75"/>
      <c r="G409" s="76"/>
      <c r="H409" s="53"/>
      <c r="I409" s="803">
        <v>0</v>
      </c>
      <c r="J409" s="75"/>
      <c r="K409" s="56" t="e">
        <f t="shared" si="166"/>
        <v>#DIV/0!</v>
      </c>
      <c r="L409" s="91"/>
    </row>
    <row r="410" spans="1:12" ht="15" hidden="1" customHeight="1">
      <c r="A410" s="758"/>
      <c r="B410" s="3944" t="s">
        <v>25</v>
      </c>
      <c r="C410" s="3930"/>
      <c r="D410" s="708"/>
      <c r="E410" s="444">
        <v>0</v>
      </c>
      <c r="F410" s="75"/>
      <c r="G410" s="76"/>
      <c r="H410" s="53"/>
      <c r="I410" s="444">
        <v>0</v>
      </c>
      <c r="J410" s="75"/>
      <c r="K410" s="56" t="e">
        <f t="shared" si="166"/>
        <v>#DIV/0!</v>
      </c>
      <c r="L410" s="91"/>
    </row>
    <row r="411" spans="1:12" ht="38.25" hidden="1" customHeight="1" thickBot="1">
      <c r="A411" s="758"/>
      <c r="B411" s="804"/>
      <c r="C411" s="805" t="s">
        <v>53</v>
      </c>
      <c r="D411" s="806" t="s">
        <v>155</v>
      </c>
      <c r="E411" s="447">
        <v>0</v>
      </c>
      <c r="F411" s="75"/>
      <c r="G411" s="76"/>
      <c r="H411" s="53"/>
      <c r="I411" s="447">
        <v>0</v>
      </c>
      <c r="J411" s="75"/>
      <c r="K411" s="56" t="e">
        <f t="shared" si="166"/>
        <v>#DIV/0!</v>
      </c>
      <c r="L411" s="91"/>
    </row>
    <row r="412" spans="1:12" ht="15.75" hidden="1" customHeight="1" thickBot="1">
      <c r="A412" s="758"/>
      <c r="B412" s="3945" t="s">
        <v>30</v>
      </c>
      <c r="C412" s="3930"/>
      <c r="D412" s="708"/>
      <c r="E412" s="698">
        <v>0</v>
      </c>
      <c r="F412" s="75"/>
      <c r="G412" s="364"/>
      <c r="H412" s="450"/>
      <c r="I412" s="698">
        <v>0</v>
      </c>
      <c r="J412" s="75"/>
      <c r="K412" s="78" t="e">
        <f t="shared" si="166"/>
        <v>#DIV/0!</v>
      </c>
      <c r="L412" s="79"/>
    </row>
    <row r="413" spans="1:12" ht="15.75" thickBot="1">
      <c r="A413" s="758"/>
      <c r="B413" s="713">
        <v>80195</v>
      </c>
      <c r="C413" s="756" t="s">
        <v>50</v>
      </c>
      <c r="D413" s="757"/>
      <c r="E413" s="159">
        <f>SUM(E421,E414)</f>
        <v>0</v>
      </c>
      <c r="F413" s="159">
        <f>SUM(F421,F414)</f>
        <v>254880</v>
      </c>
      <c r="G413" s="160">
        <f>SUM(G421,G414)</f>
        <v>35849</v>
      </c>
      <c r="H413" s="375"/>
      <c r="I413" s="159">
        <f>SUM(I421,I414)</f>
        <v>197352</v>
      </c>
      <c r="J413" s="159">
        <f>SUM(J421,J414)</f>
        <v>233201</v>
      </c>
      <c r="K413" s="82">
        <f t="shared" si="166"/>
        <v>0.91494428750784684</v>
      </c>
      <c r="L413" s="41"/>
    </row>
    <row r="414" spans="1:12">
      <c r="A414" s="758"/>
      <c r="B414" s="3909" t="s">
        <v>25</v>
      </c>
      <c r="C414" s="3909"/>
      <c r="D414" s="807"/>
      <c r="E414" s="84">
        <f>SUM(E415:E420)</f>
        <v>0</v>
      </c>
      <c r="F414" s="84">
        <f>SUM(F415:F420)</f>
        <v>250882</v>
      </c>
      <c r="G414" s="85">
        <f>SUM(G415:G420)</f>
        <v>35849</v>
      </c>
      <c r="H414" s="808"/>
      <c r="I414" s="84">
        <f>SUM(I415:I420)</f>
        <v>197352</v>
      </c>
      <c r="J414" s="84">
        <f>SUM(J415:J420)</f>
        <v>233201</v>
      </c>
      <c r="K414" s="47">
        <f t="shared" si="166"/>
        <v>0.92952463708038047</v>
      </c>
      <c r="L414" s="48"/>
    </row>
    <row r="415" spans="1:12" ht="29.25" hidden="1" customHeight="1">
      <c r="A415" s="758"/>
      <c r="B415" s="809"/>
      <c r="C415" s="112" t="s">
        <v>296</v>
      </c>
      <c r="D415" s="810" t="s">
        <v>52</v>
      </c>
      <c r="E415" s="114">
        <v>0</v>
      </c>
      <c r="F415" s="75">
        <v>0</v>
      </c>
      <c r="G415" s="76">
        <v>0</v>
      </c>
      <c r="H415" s="53" t="e">
        <f t="shared" ref="H415:H478" si="167">G415/E415</f>
        <v>#DIV/0!</v>
      </c>
      <c r="I415" s="98"/>
      <c r="J415" s="98"/>
      <c r="K415" s="56" t="e">
        <f t="shared" si="166"/>
        <v>#DIV/0!</v>
      </c>
      <c r="L415" s="91"/>
    </row>
    <row r="416" spans="1:12" ht="51">
      <c r="A416" s="758"/>
      <c r="B416" s="811"/>
      <c r="C416" s="369" t="s">
        <v>297</v>
      </c>
      <c r="D416" s="248" t="s">
        <v>298</v>
      </c>
      <c r="E416" s="50">
        <v>0</v>
      </c>
      <c r="F416" s="51">
        <v>65370</v>
      </c>
      <c r="G416" s="52">
        <v>35849</v>
      </c>
      <c r="H416" s="53"/>
      <c r="I416" s="98">
        <v>0</v>
      </c>
      <c r="J416" s="61">
        <f t="shared" si="165"/>
        <v>35849</v>
      </c>
      <c r="K416" s="56">
        <f t="shared" si="166"/>
        <v>0.54840140737341292</v>
      </c>
      <c r="L416" s="145"/>
    </row>
    <row r="417" spans="1:12" ht="51.75" thickBot="1">
      <c r="A417" s="758"/>
      <c r="B417" s="1173"/>
      <c r="C417" s="369" t="s">
        <v>419</v>
      </c>
      <c r="D417" s="248" t="s">
        <v>298</v>
      </c>
      <c r="E417" s="50">
        <v>0</v>
      </c>
      <c r="F417" s="51">
        <v>0</v>
      </c>
      <c r="G417" s="52">
        <v>0</v>
      </c>
      <c r="H417" s="53"/>
      <c r="I417" s="98">
        <v>197352</v>
      </c>
      <c r="J417" s="61">
        <f t="shared" si="165"/>
        <v>197352</v>
      </c>
      <c r="K417" s="56"/>
      <c r="L417" s="145"/>
    </row>
    <row r="418" spans="1:12" ht="39" hidden="1" thickBot="1">
      <c r="A418" s="758"/>
      <c r="B418" s="812"/>
      <c r="C418" s="773" t="s">
        <v>299</v>
      </c>
      <c r="D418" s="813" t="s">
        <v>116</v>
      </c>
      <c r="E418" s="244">
        <v>0</v>
      </c>
      <c r="F418" s="249">
        <v>121990</v>
      </c>
      <c r="G418" s="250">
        <v>0</v>
      </c>
      <c r="H418" s="442"/>
      <c r="I418" s="61">
        <v>0</v>
      </c>
      <c r="J418" s="61">
        <f t="shared" si="165"/>
        <v>0</v>
      </c>
      <c r="K418" s="56">
        <f t="shared" si="166"/>
        <v>0</v>
      </c>
      <c r="L418" s="96"/>
    </row>
    <row r="419" spans="1:12" ht="66" hidden="1" customHeight="1">
      <c r="A419" s="758"/>
      <c r="B419" s="811"/>
      <c r="C419" s="188" t="s">
        <v>73</v>
      </c>
      <c r="D419" s="248" t="s">
        <v>300</v>
      </c>
      <c r="E419" s="50">
        <v>0</v>
      </c>
      <c r="F419" s="51">
        <v>17850</v>
      </c>
      <c r="G419" s="52">
        <v>0</v>
      </c>
      <c r="H419" s="53"/>
      <c r="I419" s="98">
        <v>0</v>
      </c>
      <c r="J419" s="98">
        <f t="shared" si="165"/>
        <v>0</v>
      </c>
      <c r="K419" s="56">
        <f t="shared" si="166"/>
        <v>0</v>
      </c>
      <c r="L419" s="145"/>
    </row>
    <row r="420" spans="1:12" ht="51" hidden="1" customHeight="1" thickBot="1">
      <c r="A420" s="758"/>
      <c r="B420" s="812"/>
      <c r="C420" s="1174" t="s">
        <v>71</v>
      </c>
      <c r="D420" s="1175" t="s">
        <v>301</v>
      </c>
      <c r="E420" s="90">
        <v>0</v>
      </c>
      <c r="F420" s="427">
        <v>45672</v>
      </c>
      <c r="G420" s="428">
        <v>0</v>
      </c>
      <c r="H420" s="429"/>
      <c r="I420" s="430">
        <v>0</v>
      </c>
      <c r="J420" s="430">
        <f t="shared" si="165"/>
        <v>0</v>
      </c>
      <c r="K420" s="411">
        <f t="shared" si="166"/>
        <v>0</v>
      </c>
      <c r="L420" s="145"/>
    </row>
    <row r="421" spans="1:12" ht="15.75" thickBot="1">
      <c r="A421" s="758"/>
      <c r="B421" s="3937" t="s">
        <v>30</v>
      </c>
      <c r="C421" s="3938"/>
      <c r="D421" s="1176"/>
      <c r="E421" s="64">
        <f>SUM(E422:E423)</f>
        <v>0</v>
      </c>
      <c r="F421" s="64">
        <f>SUM(F422:F423)</f>
        <v>3998</v>
      </c>
      <c r="G421" s="137">
        <f>SUM(G422:G423)</f>
        <v>0</v>
      </c>
      <c r="H421" s="269"/>
      <c r="I421" s="64">
        <f>SUM(I422:I423)</f>
        <v>0</v>
      </c>
      <c r="J421" s="64">
        <f>SUM(J422:J423)</f>
        <v>0</v>
      </c>
      <c r="K421" s="204">
        <f t="shared" si="166"/>
        <v>0</v>
      </c>
      <c r="L421" s="260"/>
    </row>
    <row r="422" spans="1:12" ht="64.5" hidden="1" thickBot="1">
      <c r="A422" s="758"/>
      <c r="B422" s="3959"/>
      <c r="C422" s="814" t="s">
        <v>73</v>
      </c>
      <c r="D422" s="248" t="s">
        <v>302</v>
      </c>
      <c r="E422" s="50">
        <v>0</v>
      </c>
      <c r="F422" s="51">
        <v>941</v>
      </c>
      <c r="G422" s="52">
        <v>0</v>
      </c>
      <c r="H422" s="53"/>
      <c r="I422" s="98">
        <v>0</v>
      </c>
      <c r="J422" s="61">
        <f t="shared" si="165"/>
        <v>0</v>
      </c>
      <c r="K422" s="56">
        <f t="shared" si="166"/>
        <v>0</v>
      </c>
      <c r="L422" s="145"/>
    </row>
    <row r="423" spans="1:12" ht="57" hidden="1" customHeight="1" thickBot="1">
      <c r="A423" s="762"/>
      <c r="B423" s="3960"/>
      <c r="C423" s="815" t="s">
        <v>71</v>
      </c>
      <c r="D423" s="816" t="s">
        <v>303</v>
      </c>
      <c r="E423" s="254">
        <v>0</v>
      </c>
      <c r="F423" s="589">
        <v>3057</v>
      </c>
      <c r="G423" s="197">
        <v>0</v>
      </c>
      <c r="H423" s="198"/>
      <c r="I423" s="199">
        <v>0</v>
      </c>
      <c r="J423" s="410">
        <f t="shared" si="165"/>
        <v>0</v>
      </c>
      <c r="K423" s="201">
        <f t="shared" si="166"/>
        <v>0</v>
      </c>
      <c r="L423" s="212"/>
    </row>
    <row r="424" spans="1:12" ht="15.75" thickBot="1">
      <c r="A424" s="817">
        <v>851</v>
      </c>
      <c r="B424" s="818"/>
      <c r="C424" s="819" t="s">
        <v>304</v>
      </c>
      <c r="D424" s="820"/>
      <c r="E424" s="821">
        <f>SUM(E425,E437,E451,E455,E459)</f>
        <v>19926691</v>
      </c>
      <c r="F424" s="821">
        <f t="shared" ref="F424:G424" si="168">SUM(F425,F437,F451,F455,F459)</f>
        <v>30338248</v>
      </c>
      <c r="G424" s="822">
        <f t="shared" si="168"/>
        <v>34111097</v>
      </c>
      <c r="H424" s="393">
        <f t="shared" si="167"/>
        <v>1.7118294753504233</v>
      </c>
      <c r="I424" s="821">
        <f>SUM(I425,I437,I451,I455,I459)</f>
        <v>-15427097</v>
      </c>
      <c r="J424" s="821">
        <f t="shared" ref="J424" si="169">SUM(J425,J437,J451,J455,J459)</f>
        <v>18684000</v>
      </c>
      <c r="K424" s="237">
        <f t="shared" si="166"/>
        <v>0.61585626170634511</v>
      </c>
      <c r="L424" s="639"/>
    </row>
    <row r="425" spans="1:12" ht="15.75" hidden="1" thickBot="1">
      <c r="A425" s="823"/>
      <c r="B425" s="824">
        <v>85111</v>
      </c>
      <c r="C425" s="825" t="s">
        <v>305</v>
      </c>
      <c r="D425" s="826"/>
      <c r="E425" s="827">
        <v>0</v>
      </c>
      <c r="F425" s="827">
        <f t="shared" ref="F425:G425" si="170">SUM(F426,F429)</f>
        <v>892969</v>
      </c>
      <c r="G425" s="828">
        <f t="shared" si="170"/>
        <v>0</v>
      </c>
      <c r="H425" s="375"/>
      <c r="I425" s="827">
        <v>0</v>
      </c>
      <c r="J425" s="827">
        <f t="shared" ref="J425" si="171">SUM(J426,J429)</f>
        <v>0</v>
      </c>
      <c r="K425" s="82">
        <f t="shared" si="166"/>
        <v>0</v>
      </c>
      <c r="L425" s="306"/>
    </row>
    <row r="426" spans="1:12" ht="15" hidden="1" customHeight="1">
      <c r="A426" s="823"/>
      <c r="B426" s="3953" t="s">
        <v>98</v>
      </c>
      <c r="C426" s="3953"/>
      <c r="D426" s="829"/>
      <c r="E426" s="491">
        <v>0</v>
      </c>
      <c r="F426" s="491">
        <f t="shared" ref="F426:G426" si="172">SUM(F427:F428)</f>
        <v>0</v>
      </c>
      <c r="G426" s="492">
        <f t="shared" si="172"/>
        <v>0</v>
      </c>
      <c r="H426" s="808"/>
      <c r="I426" s="491">
        <v>0</v>
      </c>
      <c r="J426" s="491">
        <f t="shared" ref="J426" si="173">SUM(J427:J428)</f>
        <v>0</v>
      </c>
      <c r="K426" s="47"/>
      <c r="L426" s="311"/>
    </row>
    <row r="427" spans="1:12" ht="7.5" hidden="1" customHeight="1">
      <c r="A427" s="823"/>
      <c r="B427" s="3961"/>
      <c r="C427" s="830" t="s">
        <v>53</v>
      </c>
      <c r="D427" s="831" t="s">
        <v>155</v>
      </c>
      <c r="E427" s="832">
        <v>0</v>
      </c>
      <c r="F427" s="833"/>
      <c r="G427" s="834"/>
      <c r="H427" s="269"/>
      <c r="I427" s="832">
        <v>0</v>
      </c>
      <c r="J427" s="833"/>
      <c r="K427" s="259" t="e">
        <f t="shared" si="166"/>
        <v>#DIV/0!</v>
      </c>
      <c r="L427" s="325"/>
    </row>
    <row r="428" spans="1:12" ht="26.25" hidden="1" customHeight="1">
      <c r="A428" s="823"/>
      <c r="B428" s="3962"/>
      <c r="C428" s="830" t="s">
        <v>306</v>
      </c>
      <c r="D428" s="835">
        <v>2950</v>
      </c>
      <c r="E428" s="832">
        <v>0</v>
      </c>
      <c r="F428" s="836"/>
      <c r="G428" s="837"/>
      <c r="H428" s="269"/>
      <c r="I428" s="832">
        <v>0</v>
      </c>
      <c r="J428" s="836"/>
      <c r="K428" s="259" t="e">
        <f t="shared" si="166"/>
        <v>#DIV/0!</v>
      </c>
      <c r="L428" s="325"/>
    </row>
    <row r="429" spans="1:12" ht="14.25" hidden="1" customHeight="1">
      <c r="A429" s="823"/>
      <c r="B429" s="3963" t="s">
        <v>72</v>
      </c>
      <c r="C429" s="3954"/>
      <c r="D429" s="838"/>
      <c r="E429" s="323">
        <v>0</v>
      </c>
      <c r="F429" s="323">
        <f>SUM(F430:F432)</f>
        <v>892969</v>
      </c>
      <c r="G429" s="324">
        <f>SUM(G430:G432)</f>
        <v>0</v>
      </c>
      <c r="H429" s="269"/>
      <c r="I429" s="323">
        <v>0</v>
      </c>
      <c r="J429" s="323">
        <f>SUM(J430:J432)</f>
        <v>0</v>
      </c>
      <c r="K429" s="259">
        <f t="shared" si="166"/>
        <v>0</v>
      </c>
      <c r="L429" s="325"/>
    </row>
    <row r="430" spans="1:12" ht="51" hidden="1" customHeight="1">
      <c r="A430" s="823"/>
      <c r="B430" s="839"/>
      <c r="C430" s="840" t="s">
        <v>307</v>
      </c>
      <c r="D430" s="841">
        <v>6510</v>
      </c>
      <c r="E430" s="495"/>
      <c r="F430" s="314"/>
      <c r="G430" s="370"/>
      <c r="H430" s="53" t="e">
        <f t="shared" si="167"/>
        <v>#DIV/0!</v>
      </c>
      <c r="I430" s="98"/>
      <c r="J430" s="98"/>
      <c r="K430" s="56" t="e">
        <f t="shared" si="166"/>
        <v>#DIV/0!</v>
      </c>
      <c r="L430" s="842"/>
    </row>
    <row r="431" spans="1:12" ht="38.25" hidden="1" customHeight="1">
      <c r="A431" s="823"/>
      <c r="B431" s="843"/>
      <c r="C431" s="840" t="s">
        <v>308</v>
      </c>
      <c r="D431" s="841">
        <v>6530</v>
      </c>
      <c r="E431" s="495">
        <v>0</v>
      </c>
      <c r="F431" s="314"/>
      <c r="G431" s="370"/>
      <c r="H431" s="53" t="e">
        <f t="shared" si="167"/>
        <v>#DIV/0!</v>
      </c>
      <c r="I431" s="98"/>
      <c r="J431" s="98"/>
      <c r="K431" s="56" t="e">
        <f t="shared" si="166"/>
        <v>#DIV/0!</v>
      </c>
      <c r="L431" s="842"/>
    </row>
    <row r="432" spans="1:12" ht="51.75" hidden="1" thickBot="1">
      <c r="A432" s="823"/>
      <c r="B432" s="844"/>
      <c r="C432" s="845" t="s">
        <v>309</v>
      </c>
      <c r="D432" s="846">
        <v>6699</v>
      </c>
      <c r="E432" s="847">
        <v>0</v>
      </c>
      <c r="F432" s="314">
        <v>892969</v>
      </c>
      <c r="G432" s="370">
        <v>0</v>
      </c>
      <c r="H432" s="53"/>
      <c r="I432" s="98">
        <v>0</v>
      </c>
      <c r="J432" s="61">
        <f t="shared" si="165"/>
        <v>0</v>
      </c>
      <c r="K432" s="56">
        <f t="shared" si="166"/>
        <v>0</v>
      </c>
      <c r="L432" s="330"/>
    </row>
    <row r="433" spans="1:12" ht="15.75" hidden="1" customHeight="1" thickBot="1">
      <c r="A433" s="823"/>
      <c r="B433" s="848">
        <v>85119</v>
      </c>
      <c r="C433" s="849" t="s">
        <v>310</v>
      </c>
      <c r="D433" s="850"/>
      <c r="E433" s="851"/>
      <c r="F433" s="852"/>
      <c r="G433" s="853"/>
      <c r="H433" s="53" t="e">
        <f t="shared" si="167"/>
        <v>#DIV/0!</v>
      </c>
      <c r="I433" s="98"/>
      <c r="J433" s="98"/>
      <c r="K433" s="56" t="e">
        <f t="shared" si="166"/>
        <v>#DIV/0!</v>
      </c>
      <c r="L433" s="842"/>
    </row>
    <row r="434" spans="1:12" ht="0.75" hidden="1" customHeight="1" thickBot="1">
      <c r="A434" s="823"/>
      <c r="B434" s="3964" t="s">
        <v>98</v>
      </c>
      <c r="C434" s="3964"/>
      <c r="D434" s="627"/>
      <c r="E434" s="854"/>
      <c r="F434" s="833"/>
      <c r="G434" s="834"/>
      <c r="H434" s="53" t="e">
        <f t="shared" si="167"/>
        <v>#DIV/0!</v>
      </c>
      <c r="I434" s="98"/>
      <c r="J434" s="98"/>
      <c r="K434" s="56" t="e">
        <f t="shared" si="166"/>
        <v>#DIV/0!</v>
      </c>
      <c r="L434" s="842"/>
    </row>
    <row r="435" spans="1:12" ht="15.75" hidden="1" customHeight="1" thickBot="1">
      <c r="A435" s="823"/>
      <c r="B435" s="3952" t="s">
        <v>72</v>
      </c>
      <c r="C435" s="3952"/>
      <c r="D435" s="838"/>
      <c r="E435" s="855"/>
      <c r="F435" s="833"/>
      <c r="G435" s="834"/>
      <c r="H435" s="53" t="e">
        <f t="shared" si="167"/>
        <v>#DIV/0!</v>
      </c>
      <c r="I435" s="98"/>
      <c r="J435" s="98"/>
      <c r="K435" s="56" t="e">
        <f t="shared" si="166"/>
        <v>#DIV/0!</v>
      </c>
      <c r="L435" s="842"/>
    </row>
    <row r="436" spans="1:12" ht="14.25" hidden="1" customHeight="1" thickBot="1">
      <c r="A436" s="823"/>
      <c r="B436" s="1169"/>
      <c r="C436" s="1170" t="s">
        <v>311</v>
      </c>
      <c r="D436" s="1171">
        <v>6510</v>
      </c>
      <c r="E436" s="511"/>
      <c r="F436" s="512"/>
      <c r="G436" s="513"/>
      <c r="H436" s="450" t="e">
        <f t="shared" si="167"/>
        <v>#DIV/0!</v>
      </c>
      <c r="I436" s="266"/>
      <c r="J436" s="266"/>
      <c r="K436" s="78" t="e">
        <f t="shared" si="166"/>
        <v>#DIV/0!</v>
      </c>
      <c r="L436" s="856"/>
    </row>
    <row r="437" spans="1:12" s="398" customFormat="1" ht="15.75" thickBot="1">
      <c r="A437" s="1070"/>
      <c r="B437" s="601">
        <v>85141</v>
      </c>
      <c r="C437" s="602" t="s">
        <v>312</v>
      </c>
      <c r="D437" s="603"/>
      <c r="E437" s="648">
        <f t="shared" ref="E437:F437" si="174">SUM(E438,E439)</f>
        <v>150000</v>
      </c>
      <c r="F437" s="648">
        <f t="shared" si="174"/>
        <v>150000</v>
      </c>
      <c r="G437" s="649">
        <f t="shared" ref="G437" si="175">SUM(G438,G445)</f>
        <v>0</v>
      </c>
      <c r="H437" s="375">
        <f t="shared" si="167"/>
        <v>0</v>
      </c>
      <c r="I437" s="648">
        <f t="shared" ref="I437:J437" si="176">SUM(I438,I439)</f>
        <v>150000</v>
      </c>
      <c r="J437" s="648">
        <f t="shared" si="176"/>
        <v>150000</v>
      </c>
      <c r="K437" s="82">
        <f t="shared" si="166"/>
        <v>1</v>
      </c>
      <c r="L437" s="306"/>
    </row>
    <row r="438" spans="1:12">
      <c r="A438" s="823"/>
      <c r="B438" s="3953" t="s">
        <v>98</v>
      </c>
      <c r="C438" s="3953"/>
      <c r="D438" s="857"/>
      <c r="E438" s="491">
        <v>0</v>
      </c>
      <c r="F438" s="491">
        <v>0</v>
      </c>
      <c r="G438" s="858">
        <v>0</v>
      </c>
      <c r="H438" s="379"/>
      <c r="I438" s="491">
        <v>0</v>
      </c>
      <c r="J438" s="491">
        <v>0</v>
      </c>
      <c r="K438" s="47"/>
      <c r="L438" s="311"/>
    </row>
    <row r="439" spans="1:12" ht="15" customHeight="1">
      <c r="A439" s="823"/>
      <c r="B439" s="3954" t="s">
        <v>72</v>
      </c>
      <c r="C439" s="3954"/>
      <c r="D439" s="838"/>
      <c r="E439" s="323">
        <f t="shared" ref="E439:F439" si="177">SUM(E440:E441)</f>
        <v>150000</v>
      </c>
      <c r="F439" s="323">
        <f t="shared" si="177"/>
        <v>150000</v>
      </c>
      <c r="G439" s="859">
        <f>SUM(G441)</f>
        <v>0</v>
      </c>
      <c r="H439" s="258">
        <f t="shared" si="167"/>
        <v>0</v>
      </c>
      <c r="I439" s="323">
        <f t="shared" ref="I439:J439" si="178">SUM(I440:I441)</f>
        <v>150000</v>
      </c>
      <c r="J439" s="323">
        <f t="shared" si="178"/>
        <v>150000</v>
      </c>
      <c r="K439" s="259">
        <f t="shared" si="166"/>
        <v>1</v>
      </c>
      <c r="L439" s="325"/>
    </row>
    <row r="440" spans="1:12" ht="38.25" hidden="1" customHeight="1">
      <c r="A440" s="823"/>
      <c r="B440" s="3955"/>
      <c r="C440" s="861" t="s">
        <v>313</v>
      </c>
      <c r="D440" s="347">
        <v>6300</v>
      </c>
      <c r="E440" s="495">
        <v>0</v>
      </c>
      <c r="F440" s="314"/>
      <c r="G440" s="370"/>
      <c r="H440" s="53" t="e">
        <f t="shared" si="167"/>
        <v>#DIV/0!</v>
      </c>
      <c r="I440" s="98"/>
      <c r="J440" s="98"/>
      <c r="K440" s="56" t="e">
        <f t="shared" si="166"/>
        <v>#DIV/0!</v>
      </c>
      <c r="L440" s="842"/>
    </row>
    <row r="441" spans="1:12" ht="53.25" customHeight="1" thickBot="1">
      <c r="A441" s="823"/>
      <c r="B441" s="3956"/>
      <c r="C441" s="862" t="s">
        <v>314</v>
      </c>
      <c r="D441" s="526">
        <v>6510</v>
      </c>
      <c r="E441" s="495">
        <v>150000</v>
      </c>
      <c r="F441" s="314">
        <v>150000</v>
      </c>
      <c r="G441" s="370">
        <v>0</v>
      </c>
      <c r="H441" s="53">
        <f t="shared" si="167"/>
        <v>0</v>
      </c>
      <c r="I441" s="98">
        <v>150000</v>
      </c>
      <c r="J441" s="61">
        <f t="shared" si="165"/>
        <v>150000</v>
      </c>
      <c r="K441" s="56">
        <f t="shared" si="166"/>
        <v>1</v>
      </c>
      <c r="L441" s="330"/>
    </row>
    <row r="442" spans="1:12" ht="44.25" hidden="1" customHeight="1" thickBot="1">
      <c r="A442" s="863"/>
      <c r="B442" s="764">
        <v>85148</v>
      </c>
      <c r="C442" s="801" t="s">
        <v>315</v>
      </c>
      <c r="D442" s="802"/>
      <c r="E442" s="864"/>
      <c r="F442" s="75"/>
      <c r="G442" s="76"/>
      <c r="H442" s="53" t="e">
        <f t="shared" si="167"/>
        <v>#DIV/0!</v>
      </c>
      <c r="I442" s="98"/>
      <c r="J442" s="98"/>
      <c r="K442" s="56" t="e">
        <f t="shared" si="166"/>
        <v>#DIV/0!</v>
      </c>
      <c r="L442" s="91"/>
    </row>
    <row r="443" spans="1:12" ht="15.75" hidden="1" customHeight="1" thickBot="1">
      <c r="A443" s="863"/>
      <c r="B443" s="3957" t="s">
        <v>25</v>
      </c>
      <c r="C443" s="3957"/>
      <c r="D443" s="664"/>
      <c r="E443" s="865"/>
      <c r="F443" s="75"/>
      <c r="G443" s="76"/>
      <c r="H443" s="53" t="e">
        <f t="shared" si="167"/>
        <v>#DIV/0!</v>
      </c>
      <c r="I443" s="98"/>
      <c r="J443" s="98"/>
      <c r="K443" s="56" t="e">
        <f t="shared" si="166"/>
        <v>#DIV/0!</v>
      </c>
      <c r="L443" s="91"/>
    </row>
    <row r="444" spans="1:12" s="738" customFormat="1" ht="15.75" hidden="1" customHeight="1" thickBot="1">
      <c r="A444" s="863"/>
      <c r="B444" s="3958" t="s">
        <v>30</v>
      </c>
      <c r="C444" s="3958"/>
      <c r="D444" s="866"/>
      <c r="E444" s="221"/>
      <c r="F444" s="867"/>
      <c r="G444" s="868"/>
      <c r="H444" s="53" t="e">
        <f t="shared" si="167"/>
        <v>#DIV/0!</v>
      </c>
      <c r="I444" s="98"/>
      <c r="J444" s="98"/>
      <c r="K444" s="56" t="e">
        <f t="shared" si="166"/>
        <v>#DIV/0!</v>
      </c>
      <c r="L444" s="91"/>
    </row>
    <row r="445" spans="1:12" ht="12.75" hidden="1" customHeight="1" thickBot="1">
      <c r="A445" s="863"/>
      <c r="B445" s="869"/>
      <c r="C445" s="870" t="s">
        <v>316</v>
      </c>
      <c r="D445" s="871">
        <v>6690</v>
      </c>
      <c r="E445" s="74"/>
      <c r="F445" s="75"/>
      <c r="G445" s="76"/>
      <c r="H445" s="53" t="e">
        <f t="shared" si="167"/>
        <v>#DIV/0!</v>
      </c>
      <c r="I445" s="98"/>
      <c r="J445" s="98"/>
      <c r="K445" s="56" t="e">
        <f t="shared" si="166"/>
        <v>#DIV/0!</v>
      </c>
      <c r="L445" s="91"/>
    </row>
    <row r="446" spans="1:12" ht="56.25" hidden="1" customHeight="1" thickBot="1">
      <c r="A446" s="863"/>
      <c r="B446" s="764">
        <v>85153</v>
      </c>
      <c r="C446" s="872" t="s">
        <v>317</v>
      </c>
      <c r="D446" s="802"/>
      <c r="E446" s="864"/>
      <c r="F446" s="75"/>
      <c r="G446" s="76"/>
      <c r="H446" s="53" t="e">
        <f t="shared" si="167"/>
        <v>#DIV/0!</v>
      </c>
      <c r="I446" s="98"/>
      <c r="J446" s="98"/>
      <c r="K446" s="56" t="e">
        <f t="shared" si="166"/>
        <v>#DIV/0!</v>
      </c>
      <c r="L446" s="91"/>
    </row>
    <row r="447" spans="1:12" ht="43.5" hidden="1" customHeight="1" thickBot="1">
      <c r="A447" s="863"/>
      <c r="B447" s="3928" t="s">
        <v>25</v>
      </c>
      <c r="C447" s="3928"/>
      <c r="D447" s="664"/>
      <c r="E447" s="865"/>
      <c r="F447" s="75"/>
      <c r="G447" s="76"/>
      <c r="H447" s="53" t="e">
        <f t="shared" si="167"/>
        <v>#DIV/0!</v>
      </c>
      <c r="I447" s="98"/>
      <c r="J447" s="98"/>
      <c r="K447" s="56" t="e">
        <f t="shared" si="166"/>
        <v>#DIV/0!</v>
      </c>
      <c r="L447" s="91"/>
    </row>
    <row r="448" spans="1:12" ht="15.75" hidden="1" customHeight="1" thickBot="1">
      <c r="A448" s="863"/>
      <c r="B448" s="3971"/>
      <c r="C448" s="873" t="s">
        <v>318</v>
      </c>
      <c r="D448" s="806" t="s">
        <v>78</v>
      </c>
      <c r="E448" s="114"/>
      <c r="F448" s="75"/>
      <c r="G448" s="76"/>
      <c r="H448" s="53" t="e">
        <f t="shared" si="167"/>
        <v>#DIV/0!</v>
      </c>
      <c r="I448" s="98"/>
      <c r="J448" s="98"/>
      <c r="K448" s="56" t="e">
        <f t="shared" si="166"/>
        <v>#DIV/0!</v>
      </c>
      <c r="L448" s="91"/>
    </row>
    <row r="449" spans="1:12" s="738" customFormat="1" ht="39" hidden="1" customHeight="1" thickBot="1">
      <c r="A449" s="863"/>
      <c r="B449" s="3972"/>
      <c r="C449" s="1168" t="s">
        <v>319</v>
      </c>
      <c r="D449" s="874">
        <v>2910</v>
      </c>
      <c r="E449" s="875"/>
      <c r="F449" s="867"/>
      <c r="G449" s="868"/>
      <c r="H449" s="53" t="e">
        <f t="shared" si="167"/>
        <v>#DIV/0!</v>
      </c>
      <c r="I449" s="98"/>
      <c r="J449" s="98"/>
      <c r="K449" s="56" t="e">
        <f t="shared" si="166"/>
        <v>#DIV/0!</v>
      </c>
      <c r="L449" s="91"/>
    </row>
    <row r="450" spans="1:12" ht="12.75" hidden="1" customHeight="1" thickBot="1">
      <c r="A450" s="863"/>
      <c r="B450" s="3906" t="s">
        <v>30</v>
      </c>
      <c r="C450" s="3906"/>
      <c r="D450" s="697"/>
      <c r="E450" s="876"/>
      <c r="F450" s="363"/>
      <c r="G450" s="364"/>
      <c r="H450" s="450" t="e">
        <f t="shared" si="167"/>
        <v>#DIV/0!</v>
      </c>
      <c r="I450" s="266"/>
      <c r="J450" s="266"/>
      <c r="K450" s="78" t="e">
        <f t="shared" si="166"/>
        <v>#DIV/0!</v>
      </c>
      <c r="L450" s="79"/>
    </row>
    <row r="451" spans="1:12" s="877" customFormat="1" ht="41.25" hidden="1" customHeight="1" thickBot="1">
      <c r="A451" s="863"/>
      <c r="B451" s="601">
        <v>85156</v>
      </c>
      <c r="C451" s="602" t="s">
        <v>320</v>
      </c>
      <c r="D451" s="656"/>
      <c r="E451" s="304">
        <f t="shared" ref="E451:G451" si="179">E452+E454</f>
        <v>10000</v>
      </c>
      <c r="F451" s="304">
        <f t="shared" si="179"/>
        <v>10000</v>
      </c>
      <c r="G451" s="305">
        <f t="shared" si="179"/>
        <v>0</v>
      </c>
      <c r="H451" s="375">
        <f t="shared" si="167"/>
        <v>0</v>
      </c>
      <c r="I451" s="304">
        <f t="shared" ref="I451:J451" si="180">I452+I454</f>
        <v>0</v>
      </c>
      <c r="J451" s="304">
        <f t="shared" si="180"/>
        <v>0</v>
      </c>
      <c r="K451" s="82">
        <f t="shared" si="166"/>
        <v>0</v>
      </c>
      <c r="L451" s="41"/>
    </row>
    <row r="452" spans="1:12" ht="15.75" hidden="1" thickBot="1">
      <c r="A452" s="863"/>
      <c r="B452" s="3965" t="s">
        <v>25</v>
      </c>
      <c r="C452" s="3965"/>
      <c r="D452" s="664"/>
      <c r="E452" s="491">
        <f t="shared" ref="E452:J452" si="181">E453</f>
        <v>10000</v>
      </c>
      <c r="F452" s="491">
        <f t="shared" si="181"/>
        <v>10000</v>
      </c>
      <c r="G452" s="492">
        <f t="shared" si="181"/>
        <v>0</v>
      </c>
      <c r="H452" s="379">
        <f t="shared" si="167"/>
        <v>0</v>
      </c>
      <c r="I452" s="491">
        <f t="shared" si="181"/>
        <v>0</v>
      </c>
      <c r="J452" s="309">
        <f t="shared" si="181"/>
        <v>0</v>
      </c>
      <c r="K452" s="47">
        <f t="shared" si="166"/>
        <v>0</v>
      </c>
      <c r="L452" s="311"/>
    </row>
    <row r="453" spans="1:12" ht="39" hidden="1" thickBot="1">
      <c r="A453" s="863"/>
      <c r="B453" s="878"/>
      <c r="C453" s="879" t="s">
        <v>53</v>
      </c>
      <c r="D453" s="841">
        <v>2210</v>
      </c>
      <c r="E453" s="495">
        <v>10000</v>
      </c>
      <c r="F453" s="314">
        <v>10000</v>
      </c>
      <c r="G453" s="370">
        <v>0</v>
      </c>
      <c r="H453" s="53">
        <f t="shared" si="167"/>
        <v>0</v>
      </c>
      <c r="I453" s="98">
        <v>0</v>
      </c>
      <c r="J453" s="61">
        <f t="shared" ref="J453" si="182">SUM(G453,I453)</f>
        <v>0</v>
      </c>
      <c r="K453" s="56">
        <f t="shared" si="166"/>
        <v>0</v>
      </c>
      <c r="L453" s="330"/>
    </row>
    <row r="454" spans="1:12" ht="15.75" hidden="1" thickBot="1">
      <c r="A454" s="863"/>
      <c r="B454" s="3893" t="s">
        <v>30</v>
      </c>
      <c r="C454" s="3893"/>
      <c r="D454" s="691"/>
      <c r="E454" s="499">
        <v>0</v>
      </c>
      <c r="F454" s="499">
        <v>0</v>
      </c>
      <c r="G454" s="500">
        <v>0</v>
      </c>
      <c r="H454" s="387"/>
      <c r="I454" s="499">
        <v>0</v>
      </c>
      <c r="J454" s="499">
        <v>0</v>
      </c>
      <c r="K454" s="287"/>
      <c r="L454" s="501"/>
    </row>
    <row r="455" spans="1:12" ht="15.75" customHeight="1" thickBot="1">
      <c r="A455" s="823"/>
      <c r="B455" s="824">
        <v>85157</v>
      </c>
      <c r="C455" s="825" t="s">
        <v>321</v>
      </c>
      <c r="D455" s="603"/>
      <c r="E455" s="304">
        <f>E456+E458</f>
        <v>19736691</v>
      </c>
      <c r="F455" s="304">
        <f>F456+F458</f>
        <v>29220053</v>
      </c>
      <c r="G455" s="305">
        <f>G456+G458</f>
        <v>34081097</v>
      </c>
      <c r="H455" s="375">
        <f t="shared" si="167"/>
        <v>1.7267888016283985</v>
      </c>
      <c r="I455" s="304">
        <f>I456+I458</f>
        <v>-15577097</v>
      </c>
      <c r="J455" s="304">
        <f>J456+J458</f>
        <v>18504000</v>
      </c>
      <c r="K455" s="82">
        <f t="shared" si="166"/>
        <v>0.63326373843332862</v>
      </c>
      <c r="L455" s="306"/>
    </row>
    <row r="456" spans="1:12">
      <c r="A456" s="823"/>
      <c r="B456" s="3965" t="s">
        <v>25</v>
      </c>
      <c r="C456" s="3965"/>
      <c r="D456" s="627"/>
      <c r="E456" s="491">
        <f>SUM(E457:E457)</f>
        <v>19736691</v>
      </c>
      <c r="F456" s="491">
        <f>SUM(F457:F457)</f>
        <v>29220053</v>
      </c>
      <c r="G456" s="492">
        <f>SUM(G457:G457)</f>
        <v>34081097</v>
      </c>
      <c r="H456" s="379">
        <f t="shared" si="167"/>
        <v>1.7267888016283985</v>
      </c>
      <c r="I456" s="491">
        <f>SUM(I457:I457)</f>
        <v>-15577097</v>
      </c>
      <c r="J456" s="309">
        <f>SUM(J457:J457)</f>
        <v>18504000</v>
      </c>
      <c r="K456" s="47">
        <f t="shared" si="166"/>
        <v>0.63326373843332862</v>
      </c>
      <c r="L456" s="311"/>
    </row>
    <row r="457" spans="1:12" ht="38.25">
      <c r="A457" s="823"/>
      <c r="B457" s="880"/>
      <c r="C457" s="879" t="s">
        <v>53</v>
      </c>
      <c r="D457" s="841">
        <v>2210</v>
      </c>
      <c r="E457" s="495">
        <v>19736691</v>
      </c>
      <c r="F457" s="314">
        <v>29220053</v>
      </c>
      <c r="G457" s="370">
        <v>34081097</v>
      </c>
      <c r="H457" s="53">
        <f t="shared" si="167"/>
        <v>1.7267888016283985</v>
      </c>
      <c r="I457" s="98">
        <v>-15577097</v>
      </c>
      <c r="J457" s="61">
        <f t="shared" ref="J457" si="183">SUM(G457,I457)</f>
        <v>18504000</v>
      </c>
      <c r="K457" s="56">
        <f t="shared" si="166"/>
        <v>0.63326373843332862</v>
      </c>
      <c r="L457" s="330"/>
    </row>
    <row r="458" spans="1:12" ht="15" customHeight="1" thickBot="1">
      <c r="A458" s="1034"/>
      <c r="B458" s="3893" t="s">
        <v>30</v>
      </c>
      <c r="C458" s="3893"/>
      <c r="D458" s="609"/>
      <c r="E458" s="499">
        <v>0</v>
      </c>
      <c r="F458" s="499">
        <v>0</v>
      </c>
      <c r="G458" s="529">
        <v>0</v>
      </c>
      <c r="H458" s="420"/>
      <c r="I458" s="499">
        <v>0</v>
      </c>
      <c r="J458" s="499">
        <v>0</v>
      </c>
      <c r="K458" s="287"/>
      <c r="L458" s="501"/>
    </row>
    <row r="459" spans="1:12" ht="16.5" customHeight="1" thickBot="1">
      <c r="A459" s="1172"/>
      <c r="B459" s="601">
        <v>85195</v>
      </c>
      <c r="C459" s="602" t="s">
        <v>50</v>
      </c>
      <c r="D459" s="603"/>
      <c r="E459" s="304">
        <f t="shared" ref="E459:G459" si="184">E460+E467</f>
        <v>30000</v>
      </c>
      <c r="F459" s="304">
        <f t="shared" si="184"/>
        <v>65226</v>
      </c>
      <c r="G459" s="305">
        <f t="shared" si="184"/>
        <v>30000</v>
      </c>
      <c r="H459" s="375">
        <f t="shared" si="167"/>
        <v>1</v>
      </c>
      <c r="I459" s="304">
        <f t="shared" ref="I459:J459" si="185">I460+I467</f>
        <v>0</v>
      </c>
      <c r="J459" s="304">
        <f t="shared" si="185"/>
        <v>30000</v>
      </c>
      <c r="K459" s="82">
        <f t="shared" ref="K459:K522" si="186">J459/F459</f>
        <v>0.45993928801398215</v>
      </c>
      <c r="L459" s="41"/>
    </row>
    <row r="460" spans="1:12" ht="15.75" customHeight="1">
      <c r="A460" s="863"/>
      <c r="B460" s="3965" t="s">
        <v>25</v>
      </c>
      <c r="C460" s="3965"/>
      <c r="D460" s="605"/>
      <c r="E460" s="491">
        <f>SUM(E463:E465)</f>
        <v>30000</v>
      </c>
      <c r="F460" s="491">
        <f>SUM(F463:F465)</f>
        <v>65226</v>
      </c>
      <c r="G460" s="492">
        <f>SUM(G463:G465)</f>
        <v>30000</v>
      </c>
      <c r="H460" s="379">
        <f t="shared" si="167"/>
        <v>1</v>
      </c>
      <c r="I460" s="491">
        <f>SUM(I463:I465)</f>
        <v>0</v>
      </c>
      <c r="J460" s="309">
        <f>SUM(J463:J465)</f>
        <v>30000</v>
      </c>
      <c r="K460" s="47">
        <f t="shared" si="186"/>
        <v>0.45993928801398215</v>
      </c>
      <c r="L460" s="48"/>
    </row>
    <row r="461" spans="1:12" ht="15" hidden="1" customHeight="1">
      <c r="A461" s="863"/>
      <c r="B461" s="881"/>
      <c r="C461" s="882"/>
      <c r="D461" s="883"/>
      <c r="E461" s="495"/>
      <c r="F461" s="314"/>
      <c r="G461" s="370"/>
      <c r="H461" s="53" t="e">
        <f t="shared" si="167"/>
        <v>#DIV/0!</v>
      </c>
      <c r="I461" s="98"/>
      <c r="J461" s="98"/>
      <c r="K461" s="56" t="e">
        <f t="shared" si="186"/>
        <v>#DIV/0!</v>
      </c>
      <c r="L461" s="91"/>
    </row>
    <row r="462" spans="1:12" ht="38.25" hidden="1" customHeight="1">
      <c r="A462" s="863"/>
      <c r="B462" s="884"/>
      <c r="C462" s="882" t="s">
        <v>322</v>
      </c>
      <c r="D462" s="607">
        <v>2170</v>
      </c>
      <c r="E462" s="495">
        <v>0</v>
      </c>
      <c r="F462" s="314"/>
      <c r="G462" s="370"/>
      <c r="H462" s="53" t="e">
        <f t="shared" si="167"/>
        <v>#DIV/0!</v>
      </c>
      <c r="I462" s="98"/>
      <c r="J462" s="98"/>
      <c r="K462" s="56" t="e">
        <f t="shared" si="186"/>
        <v>#DIV/0!</v>
      </c>
      <c r="L462" s="91"/>
    </row>
    <row r="463" spans="1:12" s="398" customFormat="1" ht="86.25" hidden="1" customHeight="1">
      <c r="A463" s="863"/>
      <c r="B463" s="885"/>
      <c r="C463" s="886" t="s">
        <v>323</v>
      </c>
      <c r="D463" s="887" t="s">
        <v>154</v>
      </c>
      <c r="E463" s="888">
        <v>0</v>
      </c>
      <c r="F463" s="328">
        <v>88</v>
      </c>
      <c r="G463" s="889">
        <v>0</v>
      </c>
      <c r="H463" s="53"/>
      <c r="I463" s="98">
        <v>0</v>
      </c>
      <c r="J463" s="61">
        <f t="shared" ref="J463:J465" si="187">SUM(G463,I463)</f>
        <v>0</v>
      </c>
      <c r="K463" s="56">
        <f t="shared" si="186"/>
        <v>0</v>
      </c>
      <c r="L463" s="890"/>
    </row>
    <row r="464" spans="1:12" s="398" customFormat="1" ht="39" customHeight="1">
      <c r="A464" s="863"/>
      <c r="B464" s="885"/>
      <c r="C464" s="891" t="s">
        <v>53</v>
      </c>
      <c r="D464" s="607">
        <v>2210</v>
      </c>
      <c r="E464" s="892">
        <v>30000</v>
      </c>
      <c r="F464" s="328">
        <v>63800</v>
      </c>
      <c r="G464" s="889">
        <v>30000</v>
      </c>
      <c r="H464" s="53">
        <f t="shared" si="167"/>
        <v>1</v>
      </c>
      <c r="I464" s="98">
        <v>0</v>
      </c>
      <c r="J464" s="61">
        <f t="shared" si="187"/>
        <v>30000</v>
      </c>
      <c r="K464" s="56">
        <f t="shared" si="186"/>
        <v>0.47021943573667713</v>
      </c>
      <c r="L464" s="340"/>
    </row>
    <row r="465" spans="1:12" s="398" customFormat="1" ht="89.25" hidden="1">
      <c r="A465" s="863"/>
      <c r="B465" s="893"/>
      <c r="C465" s="894" t="s">
        <v>324</v>
      </c>
      <c r="D465" s="895">
        <v>2917</v>
      </c>
      <c r="E465" s="896">
        <v>0</v>
      </c>
      <c r="F465" s="344">
        <v>1338</v>
      </c>
      <c r="G465" s="527">
        <v>0</v>
      </c>
      <c r="H465" s="442"/>
      <c r="I465" s="61">
        <v>0</v>
      </c>
      <c r="J465" s="61">
        <f t="shared" si="187"/>
        <v>0</v>
      </c>
      <c r="K465" s="56">
        <f t="shared" si="186"/>
        <v>0</v>
      </c>
      <c r="L465" s="897"/>
    </row>
    <row r="466" spans="1:12" ht="39.75" hidden="1" customHeight="1">
      <c r="A466" s="863"/>
      <c r="B466" s="898"/>
      <c r="C466" s="899" t="s">
        <v>325</v>
      </c>
      <c r="D466" s="900">
        <v>2957</v>
      </c>
      <c r="E466" s="901">
        <v>0</v>
      </c>
      <c r="F466" s="75"/>
      <c r="G466" s="76"/>
      <c r="H466" s="53" t="e">
        <f t="shared" si="167"/>
        <v>#DIV/0!</v>
      </c>
      <c r="I466" s="98"/>
      <c r="J466" s="98"/>
      <c r="K466" s="56" t="e">
        <f t="shared" si="186"/>
        <v>#DIV/0!</v>
      </c>
      <c r="L466" s="91"/>
    </row>
    <row r="467" spans="1:12" ht="16.5" customHeight="1" thickBot="1">
      <c r="A467" s="902"/>
      <c r="B467" s="3966" t="s">
        <v>30</v>
      </c>
      <c r="C467" s="3967"/>
      <c r="D467" s="609"/>
      <c r="E467" s="499">
        <v>0</v>
      </c>
      <c r="F467" s="499">
        <f t="shared" ref="F467" si="188">F468</f>
        <v>0</v>
      </c>
      <c r="G467" s="529">
        <v>0</v>
      </c>
      <c r="H467" s="420"/>
      <c r="I467" s="499">
        <v>0</v>
      </c>
      <c r="J467" s="499">
        <f t="shared" ref="J467" si="189">J468</f>
        <v>0</v>
      </c>
      <c r="K467" s="259"/>
      <c r="L467" s="530"/>
    </row>
    <row r="468" spans="1:12" ht="42" hidden="1" customHeight="1" thickBot="1">
      <c r="A468" s="903"/>
      <c r="B468" s="904"/>
      <c r="C468" s="905" t="s">
        <v>325</v>
      </c>
      <c r="D468" s="906">
        <v>6697</v>
      </c>
      <c r="E468" s="118">
        <v>0</v>
      </c>
      <c r="F468" s="356"/>
      <c r="G468" s="130"/>
      <c r="H468" s="429" t="e">
        <f t="shared" si="167"/>
        <v>#DIV/0!</v>
      </c>
      <c r="I468" s="118">
        <v>0</v>
      </c>
      <c r="J468" s="357"/>
      <c r="K468" s="78" t="e">
        <f t="shared" si="186"/>
        <v>#DIV/0!</v>
      </c>
      <c r="L468" s="133"/>
    </row>
    <row r="469" spans="1:12" ht="16.5" customHeight="1" thickBot="1">
      <c r="A469" s="593">
        <v>852</v>
      </c>
      <c r="B469" s="594"/>
      <c r="C469" s="595" t="s">
        <v>326</v>
      </c>
      <c r="D469" s="596"/>
      <c r="E469" s="28">
        <f>SUM(E470,E475,E488)</f>
        <v>3728561</v>
      </c>
      <c r="F469" s="28">
        <f>SUM(F470,F475,F488)</f>
        <v>3890244</v>
      </c>
      <c r="G469" s="29">
        <f>SUM(G470,G475,G488)</f>
        <v>336150</v>
      </c>
      <c r="H469" s="30">
        <f t="shared" si="167"/>
        <v>9.0155424572643444E-2</v>
      </c>
      <c r="I469" s="28">
        <f>SUM(I470,I475,I488)</f>
        <v>3971981</v>
      </c>
      <c r="J469" s="28">
        <f>SUM(J470,J475,J488)</f>
        <v>4308131</v>
      </c>
      <c r="K469" s="237">
        <f t="shared" si="186"/>
        <v>1.1074192261462263</v>
      </c>
      <c r="L469" s="639"/>
    </row>
    <row r="470" spans="1:12" ht="15.75" customHeight="1" thickBot="1">
      <c r="A470" s="907"/>
      <c r="B470" s="601">
        <v>85205</v>
      </c>
      <c r="C470" s="602" t="s">
        <v>327</v>
      </c>
      <c r="D470" s="603"/>
      <c r="E470" s="304">
        <f t="shared" ref="E470:G470" si="190">E471+E474</f>
        <v>100000</v>
      </c>
      <c r="F470" s="304">
        <f t="shared" si="190"/>
        <v>100000</v>
      </c>
      <c r="G470" s="305">
        <f t="shared" si="190"/>
        <v>0</v>
      </c>
      <c r="H470" s="375">
        <f t="shared" si="167"/>
        <v>0</v>
      </c>
      <c r="I470" s="304">
        <f t="shared" ref="I470:J470" si="191">I471+I474</f>
        <v>100000</v>
      </c>
      <c r="J470" s="304">
        <f t="shared" si="191"/>
        <v>100000</v>
      </c>
      <c r="K470" s="82">
        <f t="shared" si="186"/>
        <v>1</v>
      </c>
      <c r="L470" s="41"/>
    </row>
    <row r="471" spans="1:12">
      <c r="A471" s="908"/>
      <c r="B471" s="3901" t="s">
        <v>25</v>
      </c>
      <c r="C471" s="3901"/>
      <c r="D471" s="857"/>
      <c r="E471" s="491">
        <f t="shared" ref="E471:G471" si="192">SUM(E472,E473)</f>
        <v>100000</v>
      </c>
      <c r="F471" s="491">
        <f t="shared" si="192"/>
        <v>100000</v>
      </c>
      <c r="G471" s="492">
        <f t="shared" si="192"/>
        <v>0</v>
      </c>
      <c r="H471" s="379">
        <f t="shared" si="167"/>
        <v>0</v>
      </c>
      <c r="I471" s="491">
        <f t="shared" ref="I471:J471" si="193">SUM(I472,I473)</f>
        <v>100000</v>
      </c>
      <c r="J471" s="309">
        <f t="shared" si="193"/>
        <v>100000</v>
      </c>
      <c r="K471" s="47">
        <f t="shared" si="186"/>
        <v>1</v>
      </c>
      <c r="L471" s="48"/>
    </row>
    <row r="472" spans="1:12" ht="26.25" customHeight="1">
      <c r="A472" s="908"/>
      <c r="B472" s="909"/>
      <c r="C472" s="910" t="s">
        <v>328</v>
      </c>
      <c r="D472" s="607">
        <v>2230</v>
      </c>
      <c r="E472" s="495">
        <v>100000</v>
      </c>
      <c r="F472" s="314">
        <v>100000</v>
      </c>
      <c r="G472" s="370">
        <v>0</v>
      </c>
      <c r="H472" s="53">
        <f t="shared" si="167"/>
        <v>0</v>
      </c>
      <c r="I472" s="98">
        <v>100000</v>
      </c>
      <c r="J472" s="61">
        <f t="shared" ref="J472" si="194">SUM(G472,I472)</f>
        <v>100000</v>
      </c>
      <c r="K472" s="56">
        <f t="shared" si="186"/>
        <v>1</v>
      </c>
      <c r="L472" s="99"/>
    </row>
    <row r="473" spans="1:12" ht="51" hidden="1" customHeight="1">
      <c r="A473" s="911"/>
      <c r="B473" s="912"/>
      <c r="C473" s="913" t="s">
        <v>329</v>
      </c>
      <c r="D473" s="914">
        <v>2910</v>
      </c>
      <c r="E473" s="915"/>
      <c r="F473" s="314"/>
      <c r="G473" s="370"/>
      <c r="H473" s="53" t="e">
        <f t="shared" si="167"/>
        <v>#DIV/0!</v>
      </c>
      <c r="I473" s="98"/>
      <c r="J473" s="98"/>
      <c r="K473" s="56" t="e">
        <f t="shared" si="186"/>
        <v>#DIV/0!</v>
      </c>
      <c r="L473" s="91"/>
    </row>
    <row r="474" spans="1:12" ht="16.5" customHeight="1" thickBot="1">
      <c r="A474" s="911"/>
      <c r="B474" s="3968" t="s">
        <v>30</v>
      </c>
      <c r="C474" s="3969"/>
      <c r="D474" s="916"/>
      <c r="E474" s="499">
        <v>0</v>
      </c>
      <c r="F474" s="499">
        <v>0</v>
      </c>
      <c r="G474" s="500">
        <v>0</v>
      </c>
      <c r="H474" s="387"/>
      <c r="I474" s="499">
        <v>0</v>
      </c>
      <c r="J474" s="499">
        <v>0</v>
      </c>
      <c r="K474" s="287"/>
      <c r="L474" s="105"/>
    </row>
    <row r="475" spans="1:12" ht="16.5" customHeight="1" thickBot="1">
      <c r="A475" s="911"/>
      <c r="B475" s="917">
        <v>85217</v>
      </c>
      <c r="C475" s="825" t="s">
        <v>330</v>
      </c>
      <c r="D475" s="826"/>
      <c r="E475" s="559">
        <f t="shared" ref="E475:G475" si="195">SUM(E476,E487)</f>
        <v>346219</v>
      </c>
      <c r="F475" s="559">
        <f t="shared" si="195"/>
        <v>346219</v>
      </c>
      <c r="G475" s="649">
        <f t="shared" si="195"/>
        <v>336150</v>
      </c>
      <c r="H475" s="375">
        <f t="shared" si="167"/>
        <v>0.97091725179727284</v>
      </c>
      <c r="I475" s="559">
        <f t="shared" ref="I475:J475" si="196">SUM(I476,I487)</f>
        <v>0</v>
      </c>
      <c r="J475" s="648">
        <f t="shared" si="196"/>
        <v>336150</v>
      </c>
      <c r="K475" s="82">
        <f t="shared" si="186"/>
        <v>0.97091725179727284</v>
      </c>
      <c r="L475" s="41"/>
    </row>
    <row r="476" spans="1:12">
      <c r="A476" s="911"/>
      <c r="B476" s="3970" t="s">
        <v>25</v>
      </c>
      <c r="C476" s="3965"/>
      <c r="D476" s="857"/>
      <c r="E476" s="309">
        <f>SUM(E477:E486)</f>
        <v>346219</v>
      </c>
      <c r="F476" s="309">
        <f>SUM(F477:F486)</f>
        <v>346219</v>
      </c>
      <c r="G476" s="310">
        <f>SUM(G477:G486)</f>
        <v>336150</v>
      </c>
      <c r="H476" s="379">
        <f t="shared" si="167"/>
        <v>0.97091725179727284</v>
      </c>
      <c r="I476" s="309">
        <f>SUM(I477:I486)</f>
        <v>0</v>
      </c>
      <c r="J476" s="309">
        <f>SUM(J477:J486)</f>
        <v>336150</v>
      </c>
      <c r="K476" s="47">
        <f t="shared" si="186"/>
        <v>0.97091725179727284</v>
      </c>
      <c r="L476" s="48"/>
    </row>
    <row r="477" spans="1:12" ht="15" hidden="1" customHeight="1">
      <c r="A477" s="911"/>
      <c r="B477" s="3984"/>
      <c r="C477" s="3986" t="s">
        <v>331</v>
      </c>
      <c r="D477" s="690" t="s">
        <v>332</v>
      </c>
      <c r="E477" s="495"/>
      <c r="F477" s="314"/>
      <c r="G477" s="370"/>
      <c r="H477" s="53" t="e">
        <f t="shared" si="167"/>
        <v>#DIV/0!</v>
      </c>
      <c r="I477" s="98"/>
      <c r="J477" s="98"/>
      <c r="K477" s="56" t="e">
        <f t="shared" si="186"/>
        <v>#DIV/0!</v>
      </c>
      <c r="L477" s="91"/>
    </row>
    <row r="478" spans="1:12" ht="15" hidden="1" customHeight="1">
      <c r="A478" s="911"/>
      <c r="B478" s="3984"/>
      <c r="C478" s="3986"/>
      <c r="D478" s="690" t="s">
        <v>105</v>
      </c>
      <c r="E478" s="919"/>
      <c r="F478" s="314"/>
      <c r="G478" s="370"/>
      <c r="H478" s="53" t="e">
        <f t="shared" si="167"/>
        <v>#DIV/0!</v>
      </c>
      <c r="I478" s="98"/>
      <c r="J478" s="98"/>
      <c r="K478" s="56" t="e">
        <f t="shared" si="186"/>
        <v>#DIV/0!</v>
      </c>
      <c r="L478" s="91"/>
    </row>
    <row r="479" spans="1:12">
      <c r="A479" s="911"/>
      <c r="B479" s="3984"/>
      <c r="C479" s="3986"/>
      <c r="D479" s="690" t="s">
        <v>27</v>
      </c>
      <c r="E479" s="495">
        <v>338223</v>
      </c>
      <c r="F479" s="314">
        <v>338223</v>
      </c>
      <c r="G479" s="370">
        <v>327738</v>
      </c>
      <c r="H479" s="53">
        <f t="shared" ref="H479:H531" si="197">G479/E479</f>
        <v>0.96899974277325907</v>
      </c>
      <c r="I479" s="98">
        <v>0</v>
      </c>
      <c r="J479" s="61">
        <f t="shared" ref="J479:J480" si="198">SUM(G479,I479)</f>
        <v>327738</v>
      </c>
      <c r="K479" s="56">
        <f t="shared" si="186"/>
        <v>0.96899974277325907</v>
      </c>
      <c r="L479" s="99"/>
    </row>
    <row r="480" spans="1:12">
      <c r="A480" s="911"/>
      <c r="B480" s="3984"/>
      <c r="C480" s="3986"/>
      <c r="D480" s="687" t="s">
        <v>28</v>
      </c>
      <c r="E480" s="495">
        <v>4845</v>
      </c>
      <c r="F480" s="314">
        <v>4845</v>
      </c>
      <c r="G480" s="370">
        <v>4864</v>
      </c>
      <c r="H480" s="53">
        <f t="shared" si="197"/>
        <v>1.003921568627451</v>
      </c>
      <c r="I480" s="98">
        <v>0</v>
      </c>
      <c r="J480" s="61">
        <f t="shared" si="198"/>
        <v>4864</v>
      </c>
      <c r="K480" s="56">
        <f t="shared" si="186"/>
        <v>1.003921568627451</v>
      </c>
      <c r="L480" s="99"/>
    </row>
    <row r="481" spans="1:13" ht="15" hidden="1" customHeight="1">
      <c r="A481" s="911"/>
      <c r="B481" s="3984"/>
      <c r="C481" s="3986"/>
      <c r="D481" s="690" t="s">
        <v>45</v>
      </c>
      <c r="E481" s="495">
        <v>0</v>
      </c>
      <c r="F481" s="314">
        <v>0</v>
      </c>
      <c r="G481" s="370">
        <v>0</v>
      </c>
      <c r="H481" s="53" t="e">
        <f t="shared" si="197"/>
        <v>#DIV/0!</v>
      </c>
      <c r="I481" s="98"/>
      <c r="J481" s="98"/>
      <c r="K481" s="56" t="e">
        <f t="shared" si="186"/>
        <v>#DIV/0!</v>
      </c>
      <c r="L481" s="99"/>
    </row>
    <row r="482" spans="1:13" ht="15" hidden="1" customHeight="1">
      <c r="A482" s="911"/>
      <c r="B482" s="3984"/>
      <c r="C482" s="3986"/>
      <c r="D482" s="690" t="s">
        <v>52</v>
      </c>
      <c r="E482" s="495">
        <v>0</v>
      </c>
      <c r="F482" s="314">
        <v>0</v>
      </c>
      <c r="G482" s="370">
        <v>0</v>
      </c>
      <c r="H482" s="53" t="e">
        <f t="shared" si="197"/>
        <v>#DIV/0!</v>
      </c>
      <c r="I482" s="98"/>
      <c r="J482" s="98"/>
      <c r="K482" s="56" t="e">
        <f t="shared" si="186"/>
        <v>#DIV/0!</v>
      </c>
      <c r="L482" s="99"/>
    </row>
    <row r="483" spans="1:13">
      <c r="A483" s="911"/>
      <c r="B483" s="3984"/>
      <c r="C483" s="3986"/>
      <c r="D483" s="690" t="s">
        <v>29</v>
      </c>
      <c r="E483" s="495">
        <v>3151</v>
      </c>
      <c r="F483" s="314">
        <v>3151</v>
      </c>
      <c r="G483" s="370">
        <v>3548</v>
      </c>
      <c r="H483" s="53">
        <f t="shared" si="197"/>
        <v>1.1259917486512219</v>
      </c>
      <c r="I483" s="98">
        <v>0</v>
      </c>
      <c r="J483" s="61">
        <f t="shared" ref="J483" si="199">SUM(G483,I483)</f>
        <v>3548</v>
      </c>
      <c r="K483" s="56">
        <f t="shared" si="186"/>
        <v>1.1259917486512219</v>
      </c>
      <c r="L483" s="99"/>
    </row>
    <row r="484" spans="1:13" ht="45" hidden="1" customHeight="1">
      <c r="A484" s="911"/>
      <c r="B484" s="3984"/>
      <c r="C484" s="918" t="s">
        <v>333</v>
      </c>
      <c r="D484" s="687" t="s">
        <v>78</v>
      </c>
      <c r="E484" s="495"/>
      <c r="F484" s="314"/>
      <c r="G484" s="370"/>
      <c r="H484" s="53" t="e">
        <f t="shared" si="197"/>
        <v>#DIV/0!</v>
      </c>
      <c r="I484" s="98"/>
      <c r="J484" s="98"/>
      <c r="K484" s="56" t="e">
        <f t="shared" si="186"/>
        <v>#DIV/0!</v>
      </c>
      <c r="L484" s="99"/>
    </row>
    <row r="485" spans="1:13" ht="45" hidden="1" customHeight="1">
      <c r="A485" s="911"/>
      <c r="B485" s="3985"/>
      <c r="C485" s="918" t="s">
        <v>334</v>
      </c>
      <c r="D485" s="687" t="s">
        <v>47</v>
      </c>
      <c r="E485" s="495">
        <v>0</v>
      </c>
      <c r="F485" s="314">
        <v>0</v>
      </c>
      <c r="G485" s="370">
        <v>0</v>
      </c>
      <c r="H485" s="53" t="e">
        <f t="shared" si="197"/>
        <v>#DIV/0!</v>
      </c>
      <c r="I485" s="98"/>
      <c r="J485" s="98"/>
      <c r="K485" s="56" t="e">
        <f t="shared" si="186"/>
        <v>#DIV/0!</v>
      </c>
      <c r="L485" s="99"/>
    </row>
    <row r="486" spans="1:13" ht="30" hidden="1" customHeight="1">
      <c r="A486" s="911"/>
      <c r="B486" s="920"/>
      <c r="C486" s="918" t="s">
        <v>335</v>
      </c>
      <c r="D486" s="921" t="s">
        <v>93</v>
      </c>
      <c r="E486" s="495">
        <v>0</v>
      </c>
      <c r="F486" s="314">
        <v>0</v>
      </c>
      <c r="G486" s="370">
        <v>0</v>
      </c>
      <c r="H486" s="53" t="e">
        <f t="shared" si="197"/>
        <v>#DIV/0!</v>
      </c>
      <c r="I486" s="98"/>
      <c r="J486" s="98"/>
      <c r="K486" s="56" t="e">
        <f t="shared" si="186"/>
        <v>#DIV/0!</v>
      </c>
      <c r="L486" s="91"/>
    </row>
    <row r="487" spans="1:13" ht="15.75" thickBot="1">
      <c r="A487" s="911"/>
      <c r="B487" s="3900" t="s">
        <v>30</v>
      </c>
      <c r="C487" s="3893"/>
      <c r="D487" s="609"/>
      <c r="E487" s="610">
        <v>0</v>
      </c>
      <c r="F487" s="610">
        <v>0</v>
      </c>
      <c r="G487" s="529">
        <v>0</v>
      </c>
      <c r="H487" s="420"/>
      <c r="I487" s="610">
        <v>0</v>
      </c>
      <c r="J487" s="610">
        <v>0</v>
      </c>
      <c r="K487" s="374"/>
      <c r="L487" s="105"/>
    </row>
    <row r="488" spans="1:13" ht="15.75" thickBot="1">
      <c r="A488" s="911"/>
      <c r="B488" s="685">
        <v>85295</v>
      </c>
      <c r="C488" s="602" t="s">
        <v>50</v>
      </c>
      <c r="D488" s="603"/>
      <c r="E488" s="305">
        <f>E489+E504</f>
        <v>3282342</v>
      </c>
      <c r="F488" s="305">
        <f>F489+F504</f>
        <v>3444025</v>
      </c>
      <c r="G488" s="649">
        <f>G489+G504</f>
        <v>0</v>
      </c>
      <c r="H488" s="375">
        <f t="shared" si="197"/>
        <v>0</v>
      </c>
      <c r="I488" s="305">
        <f>I489+I504</f>
        <v>3871981</v>
      </c>
      <c r="J488" s="648">
        <f>J489+J504</f>
        <v>3871981</v>
      </c>
      <c r="K488" s="82">
        <f t="shared" si="186"/>
        <v>1.1242604220352639</v>
      </c>
      <c r="L488" s="306"/>
    </row>
    <row r="489" spans="1:13">
      <c r="A489" s="911"/>
      <c r="B489" s="3970" t="s">
        <v>25</v>
      </c>
      <c r="C489" s="3965"/>
      <c r="D489" s="857"/>
      <c r="E489" s="491">
        <f>SUM(E490:E503)</f>
        <v>3282342</v>
      </c>
      <c r="F489" s="491">
        <f>SUM(F490:F503)</f>
        <v>3434931</v>
      </c>
      <c r="G489" s="492">
        <f>SUM(G490:G503)</f>
        <v>0</v>
      </c>
      <c r="H489" s="379">
        <f t="shared" si="197"/>
        <v>0</v>
      </c>
      <c r="I489" s="491">
        <f>SUM(I490:I503)</f>
        <v>3871981</v>
      </c>
      <c r="J489" s="309">
        <f>SUM(J490:J503)</f>
        <v>3871981</v>
      </c>
      <c r="K489" s="47">
        <f t="shared" si="186"/>
        <v>1.1272369081067422</v>
      </c>
      <c r="L489" s="311"/>
    </row>
    <row r="490" spans="1:13" ht="42.75" customHeight="1">
      <c r="A490" s="911"/>
      <c r="B490" s="922"/>
      <c r="C490" s="923" t="s">
        <v>336</v>
      </c>
      <c r="D490" s="3987">
        <v>2007</v>
      </c>
      <c r="E490" s="495">
        <v>1681242</v>
      </c>
      <c r="F490" s="314">
        <v>1884288</v>
      </c>
      <c r="G490" s="370">
        <v>0</v>
      </c>
      <c r="H490" s="53">
        <f t="shared" si="197"/>
        <v>0</v>
      </c>
      <c r="I490" s="98">
        <v>2391539</v>
      </c>
      <c r="J490" s="61">
        <f t="shared" ref="J490" si="200">SUM(G490,I490)</f>
        <v>2391539</v>
      </c>
      <c r="K490" s="56">
        <f t="shared" si="186"/>
        <v>1.2692003557842537</v>
      </c>
      <c r="L490" s="330"/>
    </row>
    <row r="491" spans="1:13" ht="39" hidden="1" customHeight="1">
      <c r="A491" s="911"/>
      <c r="B491" s="924"/>
      <c r="C491" s="925" t="s">
        <v>337</v>
      </c>
      <c r="D491" s="3988"/>
      <c r="E491" s="927">
        <v>0</v>
      </c>
      <c r="F491" s="314"/>
      <c r="G491" s="370"/>
      <c r="H491" s="53" t="e">
        <f t="shared" si="197"/>
        <v>#DIV/0!</v>
      </c>
      <c r="I491" s="98"/>
      <c r="J491" s="98"/>
      <c r="K491" s="56" t="e">
        <f t="shared" si="186"/>
        <v>#DIV/0!</v>
      </c>
      <c r="L491" s="842"/>
    </row>
    <row r="492" spans="1:13" ht="42.75" customHeight="1">
      <c r="A492" s="911"/>
      <c r="B492" s="924"/>
      <c r="C492" s="923" t="s">
        <v>338</v>
      </c>
      <c r="D492" s="3987">
        <v>2009</v>
      </c>
      <c r="E492" s="514">
        <v>313588</v>
      </c>
      <c r="F492" s="314">
        <v>88582</v>
      </c>
      <c r="G492" s="370">
        <v>0</v>
      </c>
      <c r="H492" s="53">
        <f t="shared" si="197"/>
        <v>0</v>
      </c>
      <c r="I492" s="98">
        <v>414979</v>
      </c>
      <c r="J492" s="61">
        <f t="shared" ref="J492" si="201">SUM(G492,I492)</f>
        <v>414979</v>
      </c>
      <c r="K492" s="56">
        <f t="shared" si="186"/>
        <v>4.68468763405658</v>
      </c>
      <c r="L492" s="330"/>
      <c r="M492" s="1"/>
    </row>
    <row r="493" spans="1:13" ht="38.25" hidden="1" customHeight="1">
      <c r="A493" s="911"/>
      <c r="B493" s="924"/>
      <c r="C493" s="923" t="s">
        <v>339</v>
      </c>
      <c r="D493" s="3988"/>
      <c r="E493" s="495">
        <v>0</v>
      </c>
      <c r="F493" s="314"/>
      <c r="G493" s="370"/>
      <c r="H493" s="53" t="e">
        <f t="shared" si="197"/>
        <v>#DIV/0!</v>
      </c>
      <c r="I493" s="98"/>
      <c r="J493" s="98"/>
      <c r="K493" s="56" t="e">
        <f t="shared" si="186"/>
        <v>#DIV/0!</v>
      </c>
      <c r="L493" s="330"/>
      <c r="M493" s="1"/>
    </row>
    <row r="494" spans="1:13" ht="43.5" customHeight="1">
      <c r="A494" s="911"/>
      <c r="B494" s="924"/>
      <c r="C494" s="928" t="s">
        <v>336</v>
      </c>
      <c r="D494" s="841">
        <v>2057</v>
      </c>
      <c r="E494" s="495">
        <v>1085115</v>
      </c>
      <c r="F494" s="314">
        <v>1076738</v>
      </c>
      <c r="G494" s="370">
        <v>0</v>
      </c>
      <c r="H494" s="53">
        <f t="shared" si="197"/>
        <v>0</v>
      </c>
      <c r="I494" s="98">
        <v>897972</v>
      </c>
      <c r="J494" s="61">
        <f t="shared" ref="J494:J503" si="202">SUM(G494,I494)</f>
        <v>897972</v>
      </c>
      <c r="K494" s="56">
        <f t="shared" si="186"/>
        <v>0.83397446732631342</v>
      </c>
      <c r="L494" s="330"/>
    </row>
    <row r="495" spans="1:13" ht="51" hidden="1" customHeight="1">
      <c r="A495" s="911"/>
      <c r="B495" s="924"/>
      <c r="C495" s="929" t="s">
        <v>340</v>
      </c>
      <c r="D495" s="930"/>
      <c r="E495" s="514">
        <v>0</v>
      </c>
      <c r="F495" s="515"/>
      <c r="G495" s="516"/>
      <c r="H495" s="442" t="e">
        <f t="shared" si="197"/>
        <v>#DIV/0!</v>
      </c>
      <c r="I495" s="61"/>
      <c r="J495" s="61">
        <f t="shared" si="202"/>
        <v>0</v>
      </c>
      <c r="K495" s="56" t="e">
        <f t="shared" si="186"/>
        <v>#DIV/0!</v>
      </c>
      <c r="L495" s="528"/>
    </row>
    <row r="496" spans="1:13" ht="38.25" hidden="1" customHeight="1" thickBot="1">
      <c r="A496" s="911"/>
      <c r="B496" s="924"/>
      <c r="C496" s="931" t="s">
        <v>341</v>
      </c>
      <c r="D496" s="930"/>
      <c r="E496" s="511">
        <v>0</v>
      </c>
      <c r="F496" s="512"/>
      <c r="G496" s="513"/>
      <c r="H496" s="450" t="e">
        <f t="shared" si="197"/>
        <v>#DIV/0!</v>
      </c>
      <c r="I496" s="266"/>
      <c r="J496" s="61">
        <f t="shared" si="202"/>
        <v>0</v>
      </c>
      <c r="K496" s="56" t="e">
        <f t="shared" si="186"/>
        <v>#DIV/0!</v>
      </c>
      <c r="L496" s="932"/>
    </row>
    <row r="497" spans="1:12" ht="43.5" customHeight="1">
      <c r="A497" s="911"/>
      <c r="B497" s="924"/>
      <c r="C497" s="931" t="s">
        <v>342</v>
      </c>
      <c r="D497" s="3973" t="s">
        <v>185</v>
      </c>
      <c r="E497" s="495">
        <v>202397</v>
      </c>
      <c r="F497" s="314">
        <v>200835</v>
      </c>
      <c r="G497" s="370">
        <v>0</v>
      </c>
      <c r="H497" s="53">
        <f t="shared" si="197"/>
        <v>0</v>
      </c>
      <c r="I497" s="98">
        <v>167491</v>
      </c>
      <c r="J497" s="61">
        <f t="shared" si="202"/>
        <v>167491</v>
      </c>
      <c r="K497" s="56">
        <f t="shared" si="186"/>
        <v>0.83397316204844774</v>
      </c>
      <c r="L497" s="330"/>
    </row>
    <row r="498" spans="1:12" ht="55.5" hidden="1" customHeight="1">
      <c r="A498" s="911"/>
      <c r="B498" s="924"/>
      <c r="C498" s="928" t="s">
        <v>343</v>
      </c>
      <c r="D498" s="3974"/>
      <c r="E498" s="495">
        <v>0</v>
      </c>
      <c r="F498" s="314"/>
      <c r="G498" s="370"/>
      <c r="H498" s="53" t="e">
        <f t="shared" si="197"/>
        <v>#DIV/0!</v>
      </c>
      <c r="I498" s="98"/>
      <c r="J498" s="61">
        <f t="shared" si="202"/>
        <v>0</v>
      </c>
      <c r="K498" s="56" t="e">
        <f t="shared" si="186"/>
        <v>#DIV/0!</v>
      </c>
      <c r="L498" s="842"/>
    </row>
    <row r="499" spans="1:12" ht="39.75" hidden="1" customHeight="1">
      <c r="A499" s="911"/>
      <c r="B499" s="924"/>
      <c r="C499" s="918" t="s">
        <v>344</v>
      </c>
      <c r="D499" s="934" t="s">
        <v>185</v>
      </c>
      <c r="E499" s="514">
        <v>0</v>
      </c>
      <c r="F499" s="314"/>
      <c r="G499" s="370"/>
      <c r="H499" s="53" t="e">
        <f t="shared" si="197"/>
        <v>#DIV/0!</v>
      </c>
      <c r="I499" s="98"/>
      <c r="J499" s="61">
        <f t="shared" si="202"/>
        <v>0</v>
      </c>
      <c r="K499" s="56" t="e">
        <f t="shared" si="186"/>
        <v>#DIV/0!</v>
      </c>
      <c r="L499" s="842"/>
    </row>
    <row r="500" spans="1:12" ht="20.25" hidden="1" customHeight="1">
      <c r="A500" s="911"/>
      <c r="B500" s="924"/>
      <c r="C500" s="3975" t="s">
        <v>345</v>
      </c>
      <c r="D500" s="690" t="s">
        <v>346</v>
      </c>
      <c r="E500" s="495">
        <v>0</v>
      </c>
      <c r="F500" s="314">
        <v>14568</v>
      </c>
      <c r="G500" s="370">
        <v>0</v>
      </c>
      <c r="H500" s="53"/>
      <c r="I500" s="98">
        <v>0</v>
      </c>
      <c r="J500" s="61">
        <f t="shared" si="202"/>
        <v>0</v>
      </c>
      <c r="K500" s="56">
        <f t="shared" si="186"/>
        <v>0</v>
      </c>
      <c r="L500" s="330"/>
    </row>
    <row r="501" spans="1:12" ht="18.75" hidden="1" customHeight="1">
      <c r="A501" s="911"/>
      <c r="B501" s="924"/>
      <c r="C501" s="3976"/>
      <c r="D501" s="690" t="s">
        <v>301</v>
      </c>
      <c r="E501" s="495">
        <v>0</v>
      </c>
      <c r="F501" s="314">
        <v>2199</v>
      </c>
      <c r="G501" s="370">
        <v>0</v>
      </c>
      <c r="H501" s="53"/>
      <c r="I501" s="98">
        <v>0</v>
      </c>
      <c r="J501" s="61">
        <f t="shared" si="202"/>
        <v>0</v>
      </c>
      <c r="K501" s="56">
        <f t="shared" si="186"/>
        <v>0</v>
      </c>
      <c r="L501" s="99"/>
    </row>
    <row r="502" spans="1:12" ht="63.75" hidden="1">
      <c r="A502" s="911"/>
      <c r="B502" s="924"/>
      <c r="C502" s="935" t="s">
        <v>73</v>
      </c>
      <c r="D502" s="936" t="s">
        <v>300</v>
      </c>
      <c r="E502" s="495">
        <v>0</v>
      </c>
      <c r="F502" s="314">
        <v>4551</v>
      </c>
      <c r="G502" s="370">
        <v>0</v>
      </c>
      <c r="H502" s="53"/>
      <c r="I502" s="98">
        <v>0</v>
      </c>
      <c r="J502" s="61">
        <f t="shared" si="202"/>
        <v>0</v>
      </c>
      <c r="K502" s="56">
        <f t="shared" si="186"/>
        <v>0</v>
      </c>
      <c r="L502" s="91"/>
    </row>
    <row r="503" spans="1:12" ht="55.5" hidden="1" customHeight="1">
      <c r="A503" s="911"/>
      <c r="B503" s="937"/>
      <c r="C503" s="938" t="s">
        <v>71</v>
      </c>
      <c r="D503" s="921" t="s">
        <v>301</v>
      </c>
      <c r="E503" s="939">
        <v>0</v>
      </c>
      <c r="F503" s="515">
        <v>163170</v>
      </c>
      <c r="G503" s="516">
        <v>0</v>
      </c>
      <c r="H503" s="442"/>
      <c r="I503" s="61">
        <v>0</v>
      </c>
      <c r="J503" s="61">
        <f t="shared" si="202"/>
        <v>0</v>
      </c>
      <c r="K503" s="56">
        <f t="shared" si="186"/>
        <v>0</v>
      </c>
      <c r="L503" s="276"/>
    </row>
    <row r="504" spans="1:12" ht="15.75" thickBot="1">
      <c r="A504" s="911"/>
      <c r="B504" s="3963" t="s">
        <v>30</v>
      </c>
      <c r="C504" s="3954"/>
      <c r="D504" s="940"/>
      <c r="E504" s="323">
        <f>SUM(E505:E508)</f>
        <v>0</v>
      </c>
      <c r="F504" s="323">
        <f t="shared" ref="F504" si="203">SUM(F505:F508)</f>
        <v>9094</v>
      </c>
      <c r="G504" s="324">
        <f>SUM(G505:G508)</f>
        <v>0</v>
      </c>
      <c r="H504" s="269"/>
      <c r="I504" s="323">
        <f>SUM(I505:I508)</f>
        <v>0</v>
      </c>
      <c r="J504" s="323">
        <f t="shared" ref="J504" si="204">SUM(J505:J508)</f>
        <v>0</v>
      </c>
      <c r="K504" s="259">
        <f t="shared" si="186"/>
        <v>0</v>
      </c>
      <c r="L504" s="325"/>
    </row>
    <row r="505" spans="1:12" ht="38.25" hidden="1" customHeight="1">
      <c r="A505" s="911"/>
      <c r="B505" s="3977"/>
      <c r="C505" s="941" t="s">
        <v>347</v>
      </c>
      <c r="D505" s="926">
        <v>6207</v>
      </c>
      <c r="E505" s="495"/>
      <c r="F505" s="314"/>
      <c r="G505" s="370"/>
      <c r="H505" s="53"/>
      <c r="I505" s="98"/>
      <c r="J505" s="98"/>
      <c r="K505" s="56" t="e">
        <f t="shared" si="186"/>
        <v>#DIV/0!</v>
      </c>
      <c r="L505" s="842"/>
    </row>
    <row r="506" spans="1:12" s="738" customFormat="1" ht="38.25" hidden="1" customHeight="1" thickBot="1">
      <c r="A506" s="911"/>
      <c r="B506" s="3978"/>
      <c r="C506" s="631" t="s">
        <v>348</v>
      </c>
      <c r="D506" s="607">
        <v>6209</v>
      </c>
      <c r="E506" s="495"/>
      <c r="F506" s="852"/>
      <c r="G506" s="853"/>
      <c r="H506" s="53"/>
      <c r="I506" s="98"/>
      <c r="J506" s="98"/>
      <c r="K506" s="56" t="e">
        <f t="shared" si="186"/>
        <v>#DIV/0!</v>
      </c>
      <c r="L506" s="842"/>
    </row>
    <row r="507" spans="1:12" ht="63.75" hidden="1">
      <c r="A507" s="911"/>
      <c r="B507" s="3978"/>
      <c r="C507" s="943" t="s">
        <v>73</v>
      </c>
      <c r="D507" s="895">
        <v>6669</v>
      </c>
      <c r="E507" s="511">
        <v>0</v>
      </c>
      <c r="F507" s="314">
        <v>687</v>
      </c>
      <c r="G507" s="513">
        <v>0</v>
      </c>
      <c r="H507" s="53"/>
      <c r="I507" s="98">
        <v>0</v>
      </c>
      <c r="J507" s="61">
        <f t="shared" ref="J507:J508" si="205">SUM(G507,I507)</f>
        <v>0</v>
      </c>
      <c r="K507" s="56">
        <f t="shared" si="186"/>
        <v>0</v>
      </c>
      <c r="L507" s="842"/>
    </row>
    <row r="508" spans="1:12" ht="52.5" hidden="1" customHeight="1" thickBot="1">
      <c r="A508" s="903"/>
      <c r="B508" s="3979"/>
      <c r="C508" s="944" t="s">
        <v>349</v>
      </c>
      <c r="D508" s="945">
        <v>6699</v>
      </c>
      <c r="E508" s="927">
        <v>0</v>
      </c>
      <c r="F508" s="946">
        <v>8407</v>
      </c>
      <c r="G508" s="947">
        <v>0</v>
      </c>
      <c r="H508" s="198"/>
      <c r="I508" s="199">
        <v>0</v>
      </c>
      <c r="J508" s="410">
        <f t="shared" si="205"/>
        <v>0</v>
      </c>
      <c r="K508" s="201">
        <f t="shared" si="186"/>
        <v>0</v>
      </c>
      <c r="L508" s="948"/>
    </row>
    <row r="509" spans="1:12" s="1" customFormat="1" ht="16.5" customHeight="1" thickBot="1">
      <c r="A509" s="651">
        <v>853</v>
      </c>
      <c r="B509" s="652"/>
      <c r="C509" s="653" t="s">
        <v>350</v>
      </c>
      <c r="D509" s="654"/>
      <c r="E509" s="167">
        <f>SUM(E510,E516,E521,E533)</f>
        <v>6358118</v>
      </c>
      <c r="F509" s="167">
        <f>SUM(F510,F516,F521,F533)</f>
        <v>16391381</v>
      </c>
      <c r="G509" s="167">
        <f>SUM(G510,G516,G521,G533)</f>
        <v>5784227</v>
      </c>
      <c r="H509" s="393">
        <f t="shared" si="197"/>
        <v>0.90973885668683718</v>
      </c>
      <c r="I509" s="167">
        <f>SUM(I510,I516,I521,I533)</f>
        <v>0</v>
      </c>
      <c r="J509" s="166">
        <f>SUM(J510,J516,J521,J533)</f>
        <v>5784227</v>
      </c>
      <c r="K509" s="31">
        <f t="shared" si="186"/>
        <v>0.35288222511574835</v>
      </c>
      <c r="L509" s="168"/>
    </row>
    <row r="510" spans="1:12" ht="26.25" hidden="1" thickBot="1">
      <c r="A510" s="949"/>
      <c r="B510" s="950">
        <v>85311</v>
      </c>
      <c r="C510" s="951" t="s">
        <v>351</v>
      </c>
      <c r="D510" s="952"/>
      <c r="E510" s="953">
        <f>SUM(E511,E515)</f>
        <v>0</v>
      </c>
      <c r="F510" s="953">
        <f t="shared" ref="F510:G510" si="206">SUM(F511,F515)</f>
        <v>0</v>
      </c>
      <c r="G510" s="954">
        <f t="shared" si="206"/>
        <v>0</v>
      </c>
      <c r="H510" s="442" t="e">
        <f t="shared" si="197"/>
        <v>#DIV/0!</v>
      </c>
      <c r="I510" s="954">
        <f t="shared" ref="I510:J510" si="207">SUM(I511,I515)</f>
        <v>0</v>
      </c>
      <c r="J510" s="954">
        <f t="shared" si="207"/>
        <v>0</v>
      </c>
      <c r="K510" s="218" t="e">
        <f t="shared" si="186"/>
        <v>#DIV/0!</v>
      </c>
      <c r="L510" s="41"/>
    </row>
    <row r="511" spans="1:12" ht="15" hidden="1" customHeight="1">
      <c r="A511" s="955"/>
      <c r="B511" s="3905" t="s">
        <v>25</v>
      </c>
      <c r="C511" s="3905"/>
      <c r="D511" s="658"/>
      <c r="E511" s="444">
        <f>SUM(E512:E514)</f>
        <v>0</v>
      </c>
      <c r="F511" s="444">
        <f t="shared" ref="F511" si="208">SUM(F512:F514)</f>
        <v>0</v>
      </c>
      <c r="G511" s="768">
        <f>SUM(G512:G514)</f>
        <v>0</v>
      </c>
      <c r="H511" s="53" t="e">
        <f t="shared" si="197"/>
        <v>#DIV/0!</v>
      </c>
      <c r="I511" s="768">
        <f>SUM(I512:I514)</f>
        <v>0</v>
      </c>
      <c r="J511" s="768">
        <f>SUM(J512:J514)</f>
        <v>0</v>
      </c>
      <c r="K511" s="56" t="e">
        <f t="shared" si="186"/>
        <v>#DIV/0!</v>
      </c>
      <c r="L511" s="48"/>
    </row>
    <row r="512" spans="1:12" ht="81.75" hidden="1" customHeight="1">
      <c r="A512" s="955"/>
      <c r="B512" s="3980"/>
      <c r="C512" s="956" t="s">
        <v>352</v>
      </c>
      <c r="D512" s="957" t="s">
        <v>78</v>
      </c>
      <c r="E512" s="114">
        <v>0</v>
      </c>
      <c r="F512" s="75">
        <v>0</v>
      </c>
      <c r="G512" s="76">
        <v>0</v>
      </c>
      <c r="H512" s="53" t="e">
        <f t="shared" si="197"/>
        <v>#DIV/0!</v>
      </c>
      <c r="I512" s="76">
        <v>0</v>
      </c>
      <c r="J512" s="76">
        <v>0</v>
      </c>
      <c r="K512" s="56" t="e">
        <f t="shared" si="186"/>
        <v>#DIV/0!</v>
      </c>
      <c r="L512" s="91"/>
    </row>
    <row r="513" spans="1:12" ht="50.1" hidden="1" customHeight="1">
      <c r="A513" s="955"/>
      <c r="B513" s="3981"/>
      <c r="C513" s="3982" t="s">
        <v>353</v>
      </c>
      <c r="D513" s="957" t="s">
        <v>47</v>
      </c>
      <c r="E513" s="447">
        <v>0</v>
      </c>
      <c r="F513" s="75">
        <v>0</v>
      </c>
      <c r="G513" s="76">
        <v>0</v>
      </c>
      <c r="H513" s="53" t="e">
        <f t="shared" si="197"/>
        <v>#DIV/0!</v>
      </c>
      <c r="I513" s="76">
        <v>0</v>
      </c>
      <c r="J513" s="76">
        <v>0</v>
      </c>
      <c r="K513" s="56" t="e">
        <f t="shared" si="186"/>
        <v>#DIV/0!</v>
      </c>
      <c r="L513" s="91"/>
    </row>
    <row r="514" spans="1:12" ht="45" hidden="1" customHeight="1">
      <c r="A514" s="955"/>
      <c r="B514" s="958"/>
      <c r="C514" s="3983"/>
      <c r="D514" s="957" t="s">
        <v>93</v>
      </c>
      <c r="E514" s="447">
        <v>0</v>
      </c>
      <c r="F514" s="75">
        <v>0</v>
      </c>
      <c r="G514" s="76">
        <v>0</v>
      </c>
      <c r="H514" s="53" t="e">
        <f t="shared" si="197"/>
        <v>#DIV/0!</v>
      </c>
      <c r="I514" s="76">
        <v>0</v>
      </c>
      <c r="J514" s="76">
        <v>0</v>
      </c>
      <c r="K514" s="56" t="e">
        <f t="shared" si="186"/>
        <v>#DIV/0!</v>
      </c>
      <c r="L514" s="91"/>
    </row>
    <row r="515" spans="1:12" ht="15" hidden="1" customHeight="1" thickBot="1">
      <c r="A515" s="959"/>
      <c r="B515" s="3994" t="s">
        <v>30</v>
      </c>
      <c r="C515" s="3995"/>
      <c r="D515" s="691"/>
      <c r="E515" s="960">
        <v>0</v>
      </c>
      <c r="F515" s="960">
        <v>0</v>
      </c>
      <c r="G515" s="961">
        <v>0</v>
      </c>
      <c r="H515" s="450" t="e">
        <f t="shared" si="197"/>
        <v>#DIV/0!</v>
      </c>
      <c r="I515" s="961">
        <v>0</v>
      </c>
      <c r="J515" s="961">
        <v>0</v>
      </c>
      <c r="K515" s="78" t="e">
        <f t="shared" si="186"/>
        <v>#DIV/0!</v>
      </c>
      <c r="L515" s="288"/>
    </row>
    <row r="516" spans="1:12" ht="19.5" customHeight="1" thickBot="1">
      <c r="A516" s="949"/>
      <c r="B516" s="601">
        <v>85324</v>
      </c>
      <c r="C516" s="602" t="s">
        <v>354</v>
      </c>
      <c r="D516" s="962"/>
      <c r="E516" s="648">
        <v>619561</v>
      </c>
      <c r="F516" s="649">
        <f>F517+F520</f>
        <v>819561</v>
      </c>
      <c r="G516" s="649">
        <f>G517+G520</f>
        <v>669799</v>
      </c>
      <c r="H516" s="375">
        <f t="shared" si="197"/>
        <v>1.0810864466937073</v>
      </c>
      <c r="I516" s="649">
        <f>I517+I520</f>
        <v>0</v>
      </c>
      <c r="J516" s="648">
        <f>J517+J520</f>
        <v>669799</v>
      </c>
      <c r="K516" s="82">
        <f t="shared" si="186"/>
        <v>0.81726558486799639</v>
      </c>
      <c r="L516" s="306"/>
    </row>
    <row r="517" spans="1:12" ht="16.5" customHeight="1">
      <c r="A517" s="955"/>
      <c r="B517" s="3892" t="s">
        <v>25</v>
      </c>
      <c r="C517" s="3892"/>
      <c r="D517" s="627"/>
      <c r="E517" s="491">
        <v>619561</v>
      </c>
      <c r="F517" s="491">
        <f>SUM(F518:F519)</f>
        <v>819561</v>
      </c>
      <c r="G517" s="492">
        <f t="shared" ref="G517:J517" si="209">SUM(G518,G520)</f>
        <v>669799</v>
      </c>
      <c r="H517" s="379">
        <f t="shared" si="197"/>
        <v>1.0810864466937073</v>
      </c>
      <c r="I517" s="492">
        <f t="shared" si="209"/>
        <v>0</v>
      </c>
      <c r="J517" s="309">
        <f t="shared" si="209"/>
        <v>669799</v>
      </c>
      <c r="K517" s="47">
        <f t="shared" si="186"/>
        <v>0.81726558486799639</v>
      </c>
      <c r="L517" s="311"/>
    </row>
    <row r="518" spans="1:12" ht="29.25" customHeight="1">
      <c r="A518" s="955"/>
      <c r="B518" s="860"/>
      <c r="C518" s="963" t="s">
        <v>355</v>
      </c>
      <c r="D518" s="687" t="s">
        <v>29</v>
      </c>
      <c r="E518" s="495">
        <v>619561</v>
      </c>
      <c r="F518" s="314">
        <v>619561</v>
      </c>
      <c r="G518" s="370">
        <v>669799</v>
      </c>
      <c r="H518" s="53">
        <f t="shared" si="197"/>
        <v>1.0810864466937073</v>
      </c>
      <c r="I518" s="98">
        <v>0</v>
      </c>
      <c r="J518" s="61">
        <f t="shared" ref="J518:J519" si="210">SUM(G518,I518)</f>
        <v>669799</v>
      </c>
      <c r="K518" s="56">
        <f t="shared" si="186"/>
        <v>1.0810864466937073</v>
      </c>
      <c r="L518" s="330"/>
    </row>
    <row r="519" spans="1:12" ht="42.75" hidden="1" customHeight="1">
      <c r="A519" s="955"/>
      <c r="B519" s="964"/>
      <c r="C519" s="633" t="s">
        <v>86</v>
      </c>
      <c r="D519" s="690" t="s">
        <v>87</v>
      </c>
      <c r="E519" s="511">
        <v>0</v>
      </c>
      <c r="F519" s="512">
        <v>200000</v>
      </c>
      <c r="G519" s="513">
        <v>0</v>
      </c>
      <c r="H519" s="53"/>
      <c r="I519" s="98">
        <v>0</v>
      </c>
      <c r="J519" s="61">
        <f t="shared" si="210"/>
        <v>0</v>
      </c>
      <c r="K519" s="56">
        <f t="shared" si="186"/>
        <v>0</v>
      </c>
      <c r="L519" s="932"/>
    </row>
    <row r="520" spans="1:12" ht="15.75" thickBot="1">
      <c r="A520" s="955"/>
      <c r="B520" s="3893" t="s">
        <v>30</v>
      </c>
      <c r="C520" s="3893"/>
      <c r="D520" s="609"/>
      <c r="E520" s="499">
        <v>0</v>
      </c>
      <c r="F520" s="499">
        <v>0</v>
      </c>
      <c r="G520" s="500">
        <v>0</v>
      </c>
      <c r="H520" s="387"/>
      <c r="I520" s="499">
        <v>0</v>
      </c>
      <c r="J520" s="499">
        <v>0</v>
      </c>
      <c r="K520" s="287"/>
      <c r="L520" s="501"/>
    </row>
    <row r="521" spans="1:12" ht="15.75" thickBot="1">
      <c r="A521" s="955"/>
      <c r="B521" s="706">
        <v>85332</v>
      </c>
      <c r="C521" s="707" t="s">
        <v>356</v>
      </c>
      <c r="D521" s="965"/>
      <c r="E521" s="473">
        <f>SUM(E522,E532)</f>
        <v>5687073</v>
      </c>
      <c r="F521" s="473">
        <f>SUM(F522,F532)</f>
        <v>15499037</v>
      </c>
      <c r="G521" s="81">
        <f>SUM(G522,G532)</f>
        <v>5114428</v>
      </c>
      <c r="H521" s="375">
        <f t="shared" si="197"/>
        <v>0.89930760515998298</v>
      </c>
      <c r="I521" s="473">
        <f>SUM(I522,I532)</f>
        <v>0</v>
      </c>
      <c r="J521" s="80">
        <f>SUM(J522,J532)</f>
        <v>5114428</v>
      </c>
      <c r="K521" s="82">
        <f t="shared" si="186"/>
        <v>0.32998359833581919</v>
      </c>
      <c r="L521" s="135"/>
    </row>
    <row r="522" spans="1:12">
      <c r="A522" s="955"/>
      <c r="B522" s="3909" t="s">
        <v>25</v>
      </c>
      <c r="C522" s="3909"/>
      <c r="D522" s="807"/>
      <c r="E522" s="84">
        <f>SUM(E523:E528)</f>
        <v>5687073</v>
      </c>
      <c r="F522" s="84">
        <f>SUM(F523:F528)</f>
        <v>15499037</v>
      </c>
      <c r="G522" s="85">
        <f>SUM(G523:G528)</f>
        <v>5114428</v>
      </c>
      <c r="H522" s="379">
        <f t="shared" si="197"/>
        <v>0.89930760515998298</v>
      </c>
      <c r="I522" s="84">
        <f>SUM(I523:I528)</f>
        <v>0</v>
      </c>
      <c r="J522" s="84">
        <f>SUM(J523:J528)</f>
        <v>5114428</v>
      </c>
      <c r="K522" s="47">
        <f t="shared" si="186"/>
        <v>0.32998359833581919</v>
      </c>
      <c r="L522" s="139"/>
    </row>
    <row r="523" spans="1:12" ht="21" hidden="1" customHeight="1">
      <c r="A523" s="955"/>
      <c r="B523" s="966"/>
      <c r="C523" s="3934" t="s">
        <v>229</v>
      </c>
      <c r="D523" s="783" t="s">
        <v>357</v>
      </c>
      <c r="E523" s="50">
        <v>0</v>
      </c>
      <c r="F523" s="51">
        <v>374</v>
      </c>
      <c r="G523" s="52">
        <v>0</v>
      </c>
      <c r="H523" s="53"/>
      <c r="I523" s="98">
        <v>0</v>
      </c>
      <c r="J523" s="61">
        <f t="shared" ref="J523:J528" si="211">SUM(G523,I523)</f>
        <v>0</v>
      </c>
      <c r="K523" s="56">
        <f t="shared" ref="K523:K584" si="212">J523/F523</f>
        <v>0</v>
      </c>
      <c r="L523" s="145"/>
    </row>
    <row r="524" spans="1:12" ht="25.5" customHeight="1">
      <c r="A524" s="955"/>
      <c r="B524" s="966"/>
      <c r="C524" s="3935"/>
      <c r="D524" s="783" t="s">
        <v>29</v>
      </c>
      <c r="E524" s="50">
        <v>8400</v>
      </c>
      <c r="F524" s="51">
        <v>8400</v>
      </c>
      <c r="G524" s="52">
        <v>7668</v>
      </c>
      <c r="H524" s="53">
        <f t="shared" si="197"/>
        <v>0.91285714285714281</v>
      </c>
      <c r="I524" s="98">
        <v>0</v>
      </c>
      <c r="J524" s="61">
        <f t="shared" si="211"/>
        <v>7668</v>
      </c>
      <c r="K524" s="56">
        <f t="shared" si="212"/>
        <v>0.91285714285714281</v>
      </c>
      <c r="L524" s="145"/>
    </row>
    <row r="525" spans="1:12" ht="38.25" hidden="1">
      <c r="A525" s="955"/>
      <c r="B525" s="966"/>
      <c r="C525" s="967" t="s">
        <v>358</v>
      </c>
      <c r="D525" s="968" t="s">
        <v>359</v>
      </c>
      <c r="E525" s="50">
        <v>848000</v>
      </c>
      <c r="F525" s="51">
        <v>9105000</v>
      </c>
      <c r="G525" s="52">
        <v>0</v>
      </c>
      <c r="H525" s="53">
        <f t="shared" si="197"/>
        <v>0</v>
      </c>
      <c r="I525" s="98">
        <v>0</v>
      </c>
      <c r="J525" s="61">
        <f t="shared" si="211"/>
        <v>0</v>
      </c>
      <c r="K525" s="56">
        <f t="shared" si="212"/>
        <v>0</v>
      </c>
      <c r="L525" s="145"/>
    </row>
    <row r="526" spans="1:12" ht="38.25" customHeight="1">
      <c r="A526" s="955"/>
      <c r="B526" s="966"/>
      <c r="C526" s="967" t="s">
        <v>360</v>
      </c>
      <c r="D526" s="790" t="s">
        <v>174</v>
      </c>
      <c r="E526" s="50">
        <v>3477673</v>
      </c>
      <c r="F526" s="51">
        <v>3477673</v>
      </c>
      <c r="G526" s="52">
        <v>3539760</v>
      </c>
      <c r="H526" s="53">
        <f t="shared" si="197"/>
        <v>1.0178530298852135</v>
      </c>
      <c r="I526" s="98">
        <v>0</v>
      </c>
      <c r="J526" s="61">
        <f t="shared" si="211"/>
        <v>3539760</v>
      </c>
      <c r="K526" s="56">
        <f t="shared" si="212"/>
        <v>1.0178530298852135</v>
      </c>
      <c r="L526" s="145"/>
    </row>
    <row r="527" spans="1:12" ht="18" customHeight="1">
      <c r="A527" s="955"/>
      <c r="B527" s="966"/>
      <c r="C527" s="967" t="s">
        <v>361</v>
      </c>
      <c r="D527" s="968" t="s">
        <v>87</v>
      </c>
      <c r="E527" s="50">
        <v>1352000</v>
      </c>
      <c r="F527" s="51">
        <v>2906590</v>
      </c>
      <c r="G527" s="52">
        <v>1566000</v>
      </c>
      <c r="H527" s="53">
        <f t="shared" si="197"/>
        <v>1.1582840236686391</v>
      </c>
      <c r="I527" s="98">
        <v>0</v>
      </c>
      <c r="J527" s="61">
        <f t="shared" si="211"/>
        <v>1566000</v>
      </c>
      <c r="K527" s="56">
        <f t="shared" si="212"/>
        <v>0.53877567871629639</v>
      </c>
      <c r="L527" s="145"/>
    </row>
    <row r="528" spans="1:12" ht="38.25">
      <c r="A528" s="955"/>
      <c r="B528" s="966"/>
      <c r="C528" s="969" t="s">
        <v>53</v>
      </c>
      <c r="D528" s="968" t="s">
        <v>155</v>
      </c>
      <c r="E528" s="50">
        <v>1000</v>
      </c>
      <c r="F528" s="51">
        <v>1000</v>
      </c>
      <c r="G528" s="52">
        <v>1000</v>
      </c>
      <c r="H528" s="53">
        <f t="shared" si="197"/>
        <v>1</v>
      </c>
      <c r="I528" s="98">
        <v>0</v>
      </c>
      <c r="J528" s="61">
        <f t="shared" si="211"/>
        <v>1000</v>
      </c>
      <c r="K528" s="56">
        <f t="shared" si="212"/>
        <v>1</v>
      </c>
      <c r="L528" s="145"/>
    </row>
    <row r="529" spans="1:12" ht="25.5" hidden="1" customHeight="1">
      <c r="A529" s="955"/>
      <c r="B529" s="966"/>
      <c r="C529" s="967" t="s">
        <v>361</v>
      </c>
      <c r="D529" s="968" t="s">
        <v>362</v>
      </c>
      <c r="E529" s="50">
        <v>0</v>
      </c>
      <c r="F529" s="51"/>
      <c r="G529" s="52"/>
      <c r="H529" s="53" t="e">
        <f t="shared" si="197"/>
        <v>#DIV/0!</v>
      </c>
      <c r="I529" s="98"/>
      <c r="J529" s="98"/>
      <c r="K529" s="56" t="e">
        <f t="shared" si="212"/>
        <v>#DIV/0!</v>
      </c>
      <c r="L529" s="142"/>
    </row>
    <row r="530" spans="1:12" ht="51" hidden="1" customHeight="1" thickBot="1">
      <c r="A530" s="955"/>
      <c r="B530" s="966"/>
      <c r="C530" s="967" t="s">
        <v>363</v>
      </c>
      <c r="D530" s="968" t="s">
        <v>364</v>
      </c>
      <c r="E530" s="50"/>
      <c r="F530" s="51"/>
      <c r="G530" s="52"/>
      <c r="H530" s="53" t="e">
        <f t="shared" si="197"/>
        <v>#DIV/0!</v>
      </c>
      <c r="I530" s="98"/>
      <c r="J530" s="98"/>
      <c r="K530" s="56" t="e">
        <f t="shared" si="212"/>
        <v>#DIV/0!</v>
      </c>
      <c r="L530" s="142"/>
    </row>
    <row r="531" spans="1:12" ht="51" hidden="1" customHeight="1" thickBot="1">
      <c r="A531" s="955"/>
      <c r="B531" s="966"/>
      <c r="C531" s="970" t="s">
        <v>363</v>
      </c>
      <c r="D531" s="968" t="s">
        <v>300</v>
      </c>
      <c r="E531" s="50"/>
      <c r="F531" s="51"/>
      <c r="G531" s="52"/>
      <c r="H531" s="53" t="e">
        <f t="shared" si="197"/>
        <v>#DIV/0!</v>
      </c>
      <c r="I531" s="98"/>
      <c r="J531" s="98"/>
      <c r="K531" s="56" t="e">
        <f t="shared" si="212"/>
        <v>#DIV/0!</v>
      </c>
      <c r="L531" s="142"/>
    </row>
    <row r="532" spans="1:12" ht="15" customHeight="1" thickBot="1">
      <c r="A532" s="955"/>
      <c r="B532" s="3922" t="s">
        <v>30</v>
      </c>
      <c r="C532" s="3922"/>
      <c r="D532" s="763"/>
      <c r="E532" s="102">
        <v>0</v>
      </c>
      <c r="F532" s="102">
        <v>0</v>
      </c>
      <c r="G532" s="103">
        <v>0</v>
      </c>
      <c r="H532" s="420"/>
      <c r="I532" s="102">
        <v>0</v>
      </c>
      <c r="J532" s="102">
        <v>0</v>
      </c>
      <c r="K532" s="287"/>
      <c r="L532" s="124"/>
    </row>
    <row r="533" spans="1:12" ht="15.75" hidden="1" thickBot="1">
      <c r="A533" s="955"/>
      <c r="B533" s="706">
        <v>85395</v>
      </c>
      <c r="C533" s="707" t="s">
        <v>50</v>
      </c>
      <c r="D533" s="965"/>
      <c r="E533" s="473">
        <f>SUM(E534+E544)</f>
        <v>51484</v>
      </c>
      <c r="F533" s="473">
        <f>SUM(F534+F544)</f>
        <v>72783</v>
      </c>
      <c r="G533" s="293">
        <f>SUM(G534+G544)</f>
        <v>0</v>
      </c>
      <c r="H533" s="552">
        <f t="shared" ref="H533:H594" si="213">G533/E533</f>
        <v>0</v>
      </c>
      <c r="I533" s="473">
        <f>SUM(I534+I544)</f>
        <v>0</v>
      </c>
      <c r="J533" s="80">
        <f>SUM(J534+J544)</f>
        <v>0</v>
      </c>
      <c r="K533" s="82">
        <f t="shared" si="212"/>
        <v>0</v>
      </c>
      <c r="L533" s="294"/>
    </row>
    <row r="534" spans="1:12" ht="17.25" hidden="1" customHeight="1">
      <c r="A534" s="971"/>
      <c r="B534" s="3997" t="s">
        <v>25</v>
      </c>
      <c r="C534" s="3998"/>
      <c r="D534" s="807"/>
      <c r="E534" s="203">
        <f>SUM(E537:E543)</f>
        <v>51484</v>
      </c>
      <c r="F534" s="84">
        <f>SUM(F537:F543)</f>
        <v>72771</v>
      </c>
      <c r="G534" s="203">
        <f>SUM(G537:G543)</f>
        <v>0</v>
      </c>
      <c r="H534" s="138">
        <f t="shared" si="213"/>
        <v>0</v>
      </c>
      <c r="I534" s="203">
        <f>SUM(I537:I543)</f>
        <v>0</v>
      </c>
      <c r="J534" s="84">
        <f>SUM(J537:J543)</f>
        <v>0</v>
      </c>
      <c r="K534" s="47">
        <f t="shared" si="212"/>
        <v>0</v>
      </c>
      <c r="L534" s="972"/>
    </row>
    <row r="535" spans="1:12" ht="15" hidden="1" customHeight="1">
      <c r="A535" s="971"/>
      <c r="B535" s="973"/>
      <c r="C535" s="967" t="s">
        <v>365</v>
      </c>
      <c r="D535" s="974" t="s">
        <v>45</v>
      </c>
      <c r="E535" s="975"/>
      <c r="F535" s="51"/>
      <c r="G535" s="976"/>
      <c r="H535" s="53" t="e">
        <f t="shared" si="213"/>
        <v>#DIV/0!</v>
      </c>
      <c r="I535" s="98"/>
      <c r="J535" s="98"/>
      <c r="K535" s="56" t="e">
        <f t="shared" si="212"/>
        <v>#DIV/0!</v>
      </c>
      <c r="L535" s="142"/>
    </row>
    <row r="536" spans="1:12" ht="17.25" hidden="1" customHeight="1">
      <c r="A536" s="971"/>
      <c r="B536" s="973"/>
      <c r="C536" s="967" t="s">
        <v>366</v>
      </c>
      <c r="D536" s="974" t="s">
        <v>29</v>
      </c>
      <c r="E536" s="975"/>
      <c r="F536" s="51"/>
      <c r="G536" s="976"/>
      <c r="H536" s="53" t="e">
        <f t="shared" si="213"/>
        <v>#DIV/0!</v>
      </c>
      <c r="I536" s="98"/>
      <c r="J536" s="98"/>
      <c r="K536" s="56" t="e">
        <f t="shared" si="212"/>
        <v>#DIV/0!</v>
      </c>
      <c r="L536" s="142"/>
    </row>
    <row r="537" spans="1:12" ht="77.25" hidden="1" thickBot="1">
      <c r="A537" s="955"/>
      <c r="B537" s="973"/>
      <c r="C537" s="977" t="s">
        <v>367</v>
      </c>
      <c r="D537" s="729">
        <v>2057</v>
      </c>
      <c r="E537" s="975">
        <v>43390</v>
      </c>
      <c r="F537" s="51">
        <v>57103</v>
      </c>
      <c r="G537" s="976">
        <v>0</v>
      </c>
      <c r="H537" s="53">
        <f t="shared" si="213"/>
        <v>0</v>
      </c>
      <c r="I537" s="98">
        <v>0</v>
      </c>
      <c r="J537" s="61">
        <f t="shared" ref="J537:J540" si="214">SUM(G537,I537)</f>
        <v>0</v>
      </c>
      <c r="K537" s="56">
        <f t="shared" si="212"/>
        <v>0</v>
      </c>
      <c r="L537" s="145"/>
    </row>
    <row r="538" spans="1:12" ht="77.25" hidden="1" thickBot="1">
      <c r="A538" s="971"/>
      <c r="B538" s="973"/>
      <c r="C538" s="978" t="s">
        <v>368</v>
      </c>
      <c r="D538" s="726">
        <v>2059</v>
      </c>
      <c r="E538" s="979">
        <v>8094</v>
      </c>
      <c r="F538" s="249">
        <v>10651</v>
      </c>
      <c r="G538" s="980">
        <v>0</v>
      </c>
      <c r="H538" s="442">
        <f t="shared" si="213"/>
        <v>0</v>
      </c>
      <c r="I538" s="98">
        <v>0</v>
      </c>
      <c r="J538" s="61">
        <f t="shared" si="214"/>
        <v>0</v>
      </c>
      <c r="K538" s="56">
        <f t="shared" si="212"/>
        <v>0</v>
      </c>
      <c r="L538" s="96"/>
    </row>
    <row r="539" spans="1:12" ht="51" hidden="1" customHeight="1" thickBot="1">
      <c r="A539" s="981"/>
      <c r="B539" s="982"/>
      <c r="C539" s="983" t="s">
        <v>70</v>
      </c>
      <c r="D539" s="719">
        <v>2918</v>
      </c>
      <c r="E539" s="984">
        <v>0</v>
      </c>
      <c r="F539" s="407">
        <v>1211</v>
      </c>
      <c r="G539" s="985">
        <v>0</v>
      </c>
      <c r="H539" s="198"/>
      <c r="I539" s="199">
        <v>0</v>
      </c>
      <c r="J539" s="410">
        <f t="shared" si="214"/>
        <v>0</v>
      </c>
      <c r="K539" s="201">
        <f t="shared" si="212"/>
        <v>0</v>
      </c>
      <c r="L539" s="96"/>
    </row>
    <row r="540" spans="1:12" ht="63.75" hidden="1" customHeight="1">
      <c r="A540" s="986"/>
      <c r="B540" s="987"/>
      <c r="C540" s="988" t="s">
        <v>73</v>
      </c>
      <c r="D540" s="3999">
        <v>2919</v>
      </c>
      <c r="E540" s="989">
        <v>0</v>
      </c>
      <c r="F540" s="481">
        <v>2055</v>
      </c>
      <c r="G540" s="990">
        <v>0</v>
      </c>
      <c r="H540" s="335"/>
      <c r="I540" s="336">
        <v>0</v>
      </c>
      <c r="J540" s="336">
        <f t="shared" si="214"/>
        <v>0</v>
      </c>
      <c r="K540" s="337">
        <f t="shared" si="212"/>
        <v>0</v>
      </c>
      <c r="L540" s="145"/>
    </row>
    <row r="541" spans="1:12" s="398" customFormat="1" ht="63.75" hidden="1" customHeight="1">
      <c r="A541" s="971"/>
      <c r="B541" s="973"/>
      <c r="C541" s="991" t="s">
        <v>369</v>
      </c>
      <c r="D541" s="3918"/>
      <c r="E541" s="975">
        <v>0</v>
      </c>
      <c r="F541" s="396"/>
      <c r="G541" s="992"/>
      <c r="H541" s="53"/>
      <c r="I541" s="98"/>
      <c r="J541" s="98"/>
      <c r="K541" s="56" t="e">
        <f t="shared" si="212"/>
        <v>#DIV/0!</v>
      </c>
      <c r="L541" s="145"/>
    </row>
    <row r="542" spans="1:12" s="398" customFormat="1" ht="51.75" hidden="1" customHeight="1">
      <c r="A542" s="971"/>
      <c r="B542" s="973"/>
      <c r="C542" s="991" t="s">
        <v>370</v>
      </c>
      <c r="D542" s="3918"/>
      <c r="E542" s="993">
        <v>0</v>
      </c>
      <c r="F542" s="396">
        <v>215</v>
      </c>
      <c r="G542" s="992">
        <v>0</v>
      </c>
      <c r="H542" s="53"/>
      <c r="I542" s="98">
        <v>0</v>
      </c>
      <c r="J542" s="61">
        <f t="shared" ref="J542:J543" si="215">SUM(G542,I542)</f>
        <v>0</v>
      </c>
      <c r="K542" s="56">
        <f t="shared" si="212"/>
        <v>0</v>
      </c>
      <c r="L542" s="145"/>
    </row>
    <row r="543" spans="1:12" s="398" customFormat="1" ht="56.25" hidden="1" customHeight="1">
      <c r="A543" s="971"/>
      <c r="B543" s="994"/>
      <c r="C543" s="995" t="s">
        <v>71</v>
      </c>
      <c r="D543" s="729">
        <v>2959</v>
      </c>
      <c r="E543" s="975">
        <v>0</v>
      </c>
      <c r="F543" s="396">
        <v>1536</v>
      </c>
      <c r="G543" s="992">
        <v>0</v>
      </c>
      <c r="H543" s="53"/>
      <c r="I543" s="98">
        <v>0</v>
      </c>
      <c r="J543" s="61">
        <f t="shared" si="215"/>
        <v>0</v>
      </c>
      <c r="K543" s="56">
        <f t="shared" si="212"/>
        <v>0</v>
      </c>
      <c r="L543" s="145"/>
    </row>
    <row r="544" spans="1:12" s="398" customFormat="1" ht="15.75" hidden="1" thickBot="1">
      <c r="A544" s="971"/>
      <c r="B544" s="4000" t="s">
        <v>72</v>
      </c>
      <c r="C544" s="3924"/>
      <c r="D544" s="759"/>
      <c r="E544" s="186">
        <v>0</v>
      </c>
      <c r="F544" s="475">
        <f t="shared" ref="F544" si="216">F545</f>
        <v>12</v>
      </c>
      <c r="G544" s="996">
        <v>0</v>
      </c>
      <c r="H544" s="387"/>
      <c r="I544" s="186">
        <v>0</v>
      </c>
      <c r="J544" s="475">
        <f t="shared" ref="J544" si="217">J545</f>
        <v>0</v>
      </c>
      <c r="K544" s="259">
        <f t="shared" si="212"/>
        <v>0</v>
      </c>
      <c r="L544" s="392"/>
    </row>
    <row r="545" spans="1:12" s="398" customFormat="1" ht="54.95" hidden="1" customHeight="1" thickBot="1">
      <c r="A545" s="981"/>
      <c r="B545" s="997"/>
      <c r="C545" s="998" t="s">
        <v>71</v>
      </c>
      <c r="D545" s="742">
        <v>6699</v>
      </c>
      <c r="E545" s="999">
        <v>0</v>
      </c>
      <c r="F545" s="1000">
        <v>12</v>
      </c>
      <c r="G545" s="1001">
        <v>0</v>
      </c>
      <c r="H545" s="198"/>
      <c r="I545" s="199">
        <v>0</v>
      </c>
      <c r="J545" s="199">
        <f>SUM(G545,I545)</f>
        <v>0</v>
      </c>
      <c r="K545" s="201">
        <f t="shared" si="212"/>
        <v>0</v>
      </c>
      <c r="L545" s="1002"/>
    </row>
    <row r="546" spans="1:12" s="398" customFormat="1" ht="15.75" hidden="1" thickBot="1">
      <c r="A546" s="1003">
        <v>854</v>
      </c>
      <c r="B546" s="1004"/>
      <c r="C546" s="1005" t="s">
        <v>371</v>
      </c>
      <c r="D546" s="1006"/>
      <c r="E546" s="1007"/>
      <c r="F546" s="1008"/>
      <c r="G546" s="1009"/>
      <c r="H546" s="409" t="e">
        <f t="shared" si="213"/>
        <v>#DIV/0!</v>
      </c>
      <c r="I546" s="410"/>
      <c r="J546" s="410"/>
      <c r="K546" s="218" t="e">
        <f t="shared" si="212"/>
        <v>#DIV/0!</v>
      </c>
      <c r="L546" s="1010"/>
    </row>
    <row r="547" spans="1:12" s="398" customFormat="1" ht="15.75" hidden="1" thickBot="1">
      <c r="A547" s="3989"/>
      <c r="B547" s="1011">
        <v>85410</v>
      </c>
      <c r="C547" s="872" t="s">
        <v>372</v>
      </c>
      <c r="D547" s="1012"/>
      <c r="E547" s="1013"/>
      <c r="F547" s="1014"/>
      <c r="G547" s="1015"/>
      <c r="H547" s="442" t="e">
        <f t="shared" si="213"/>
        <v>#DIV/0!</v>
      </c>
      <c r="I547" s="61"/>
      <c r="J547" s="61"/>
      <c r="K547" s="56" t="e">
        <f t="shared" si="212"/>
        <v>#DIV/0!</v>
      </c>
      <c r="L547" s="219"/>
    </row>
    <row r="548" spans="1:12" s="398" customFormat="1" ht="15.75" hidden="1" thickBot="1">
      <c r="A548" s="3989"/>
      <c r="B548" s="3991" t="s">
        <v>25</v>
      </c>
      <c r="C548" s="3928"/>
      <c r="D548" s="664"/>
      <c r="E548" s="1016"/>
      <c r="F548" s="1017"/>
      <c r="G548" s="1018"/>
      <c r="H548" s="53" t="e">
        <f t="shared" si="213"/>
        <v>#DIV/0!</v>
      </c>
      <c r="I548" s="98"/>
      <c r="J548" s="98"/>
      <c r="K548" s="56" t="e">
        <f t="shared" si="212"/>
        <v>#DIV/0!</v>
      </c>
      <c r="L548" s="91"/>
    </row>
    <row r="549" spans="1:12" s="398" customFormat="1" ht="41.25" hidden="1" customHeight="1">
      <c r="A549" s="3989"/>
      <c r="B549" s="1019"/>
      <c r="C549" s="1020" t="s">
        <v>270</v>
      </c>
      <c r="D549" s="1021">
        <v>2400</v>
      </c>
      <c r="E549" s="74"/>
      <c r="F549" s="1017"/>
      <c r="G549" s="1018"/>
      <c r="H549" s="53" t="e">
        <f t="shared" si="213"/>
        <v>#DIV/0!</v>
      </c>
      <c r="I549" s="98"/>
      <c r="J549" s="98"/>
      <c r="K549" s="56" t="e">
        <f t="shared" si="212"/>
        <v>#DIV/0!</v>
      </c>
      <c r="L549" s="91"/>
    </row>
    <row r="550" spans="1:12" s="398" customFormat="1" ht="15.75" hidden="1" thickBot="1">
      <c r="A550" s="3990"/>
      <c r="B550" s="3992" t="s">
        <v>30</v>
      </c>
      <c r="C550" s="3993"/>
      <c r="D550" s="691"/>
      <c r="E550" s="231"/>
      <c r="F550" s="1017"/>
      <c r="G550" s="704"/>
      <c r="H550" s="450" t="e">
        <f t="shared" si="213"/>
        <v>#DIV/0!</v>
      </c>
      <c r="I550" s="266"/>
      <c r="J550" s="266"/>
      <c r="K550" s="78" t="e">
        <f t="shared" si="212"/>
        <v>#DIV/0!</v>
      </c>
      <c r="L550" s="79"/>
    </row>
    <row r="551" spans="1:12" s="398" customFormat="1" ht="15.75" thickBot="1">
      <c r="A551" s="1022">
        <v>855</v>
      </c>
      <c r="B551" s="593"/>
      <c r="C551" s="595" t="s">
        <v>373</v>
      </c>
      <c r="D551" s="596"/>
      <c r="E551" s="1023">
        <f>SUM(E552,E563,E559)</f>
        <v>5986762</v>
      </c>
      <c r="F551" s="1023">
        <f>SUM(F552,F563,F559)</f>
        <v>5986762</v>
      </c>
      <c r="G551" s="1023">
        <f>SUM(G552,G563,G559)</f>
        <v>8347955</v>
      </c>
      <c r="H551" s="393">
        <f t="shared" si="213"/>
        <v>1.3944023497175937</v>
      </c>
      <c r="I551" s="1023">
        <f>SUM(I552,I563,I559)</f>
        <v>162000</v>
      </c>
      <c r="J551" s="1177">
        <f>SUM(J552,J563,J559)</f>
        <v>8509955</v>
      </c>
      <c r="K551" s="31">
        <f t="shared" si="212"/>
        <v>1.4214620524417039</v>
      </c>
      <c r="L551" s="1024"/>
    </row>
    <row r="552" spans="1:12" s="398" customFormat="1" ht="15.75" hidden="1" customHeight="1" thickBot="1">
      <c r="A552" s="823"/>
      <c r="B552" s="1025">
        <v>85504</v>
      </c>
      <c r="C552" s="602" t="s">
        <v>374</v>
      </c>
      <c r="D552" s="1026"/>
      <c r="E552" s="305">
        <f>E553+E558</f>
        <v>0</v>
      </c>
      <c r="F552" s="305">
        <f>F553+F558</f>
        <v>0</v>
      </c>
      <c r="G552" s="305">
        <f>G553+G558</f>
        <v>0</v>
      </c>
      <c r="H552" s="442" t="e">
        <f t="shared" si="213"/>
        <v>#DIV/0!</v>
      </c>
      <c r="I552" s="305">
        <f>I553+I558</f>
        <v>0</v>
      </c>
      <c r="J552" s="304">
        <f>J553+J558</f>
        <v>0</v>
      </c>
      <c r="K552" s="218" t="e">
        <f t="shared" si="212"/>
        <v>#DIV/0!</v>
      </c>
      <c r="L552" s="1027"/>
    </row>
    <row r="553" spans="1:12" s="398" customFormat="1" ht="15" hidden="1" customHeight="1">
      <c r="A553" s="823"/>
      <c r="B553" s="3892" t="s">
        <v>25</v>
      </c>
      <c r="C553" s="3892"/>
      <c r="D553" s="605"/>
      <c r="E553" s="491">
        <f>SUM(E555:E556)</f>
        <v>0</v>
      </c>
      <c r="F553" s="491">
        <f>SUM(F555:F556)</f>
        <v>0</v>
      </c>
      <c r="G553" s="492">
        <f>SUM(G555:G556)</f>
        <v>0</v>
      </c>
      <c r="H553" s="53" t="e">
        <f t="shared" si="213"/>
        <v>#DIV/0!</v>
      </c>
      <c r="I553" s="491">
        <f>SUM(I555:I556)</f>
        <v>0</v>
      </c>
      <c r="J553" s="491">
        <f>SUM(J555:J556)</f>
        <v>0</v>
      </c>
      <c r="K553" s="56" t="e">
        <f t="shared" si="212"/>
        <v>#DIV/0!</v>
      </c>
      <c r="L553" s="48"/>
    </row>
    <row r="554" spans="1:12" s="398" customFormat="1" ht="52.5" hidden="1" customHeight="1">
      <c r="A554" s="823"/>
      <c r="B554" s="942"/>
      <c r="C554" s="1028" t="s">
        <v>77</v>
      </c>
      <c r="D554" s="1029" t="s">
        <v>78</v>
      </c>
      <c r="E554" s="1030"/>
      <c r="F554" s="328"/>
      <c r="G554" s="889"/>
      <c r="H554" s="53" t="e">
        <f t="shared" si="213"/>
        <v>#DIV/0!</v>
      </c>
      <c r="I554" s="1030"/>
      <c r="J554" s="328"/>
      <c r="K554" s="56" t="e">
        <f t="shared" si="212"/>
        <v>#DIV/0!</v>
      </c>
      <c r="L554" s="91"/>
    </row>
    <row r="555" spans="1:12" s="398" customFormat="1" ht="63.75" hidden="1" customHeight="1">
      <c r="A555" s="823"/>
      <c r="B555" s="942"/>
      <c r="C555" s="1031" t="s">
        <v>375</v>
      </c>
      <c r="D555" s="1029" t="s">
        <v>183</v>
      </c>
      <c r="E555" s="1030">
        <v>0</v>
      </c>
      <c r="F555" s="328">
        <v>0</v>
      </c>
      <c r="G555" s="889">
        <v>0</v>
      </c>
      <c r="H555" s="53" t="e">
        <f t="shared" si="213"/>
        <v>#DIV/0!</v>
      </c>
      <c r="I555" s="1030">
        <v>0</v>
      </c>
      <c r="J555" s="328">
        <v>0</v>
      </c>
      <c r="K555" s="56" t="e">
        <f t="shared" si="212"/>
        <v>#DIV/0!</v>
      </c>
      <c r="L555" s="91"/>
    </row>
    <row r="556" spans="1:12" s="398" customFormat="1" ht="63.75" hidden="1" customHeight="1">
      <c r="A556" s="823"/>
      <c r="B556" s="942"/>
      <c r="C556" s="1031" t="s">
        <v>376</v>
      </c>
      <c r="D556" s="687" t="s">
        <v>185</v>
      </c>
      <c r="E556" s="1030">
        <v>0</v>
      </c>
      <c r="F556" s="328">
        <v>0</v>
      </c>
      <c r="G556" s="889">
        <v>0</v>
      </c>
      <c r="H556" s="53" t="e">
        <f t="shared" si="213"/>
        <v>#DIV/0!</v>
      </c>
      <c r="I556" s="1030">
        <v>0</v>
      </c>
      <c r="J556" s="328">
        <v>0</v>
      </c>
      <c r="K556" s="56" t="e">
        <f t="shared" si="212"/>
        <v>#DIV/0!</v>
      </c>
      <c r="L556" s="91"/>
    </row>
    <row r="557" spans="1:12" s="737" customFormat="1" ht="38.25" hidden="1" customHeight="1">
      <c r="A557" s="823"/>
      <c r="B557" s="942"/>
      <c r="C557" s="928" t="s">
        <v>377</v>
      </c>
      <c r="D557" s="687" t="s">
        <v>93</v>
      </c>
      <c r="E557" s="1030"/>
      <c r="F557" s="1032"/>
      <c r="G557" s="1033"/>
      <c r="H557" s="53" t="e">
        <f t="shared" si="213"/>
        <v>#DIV/0!</v>
      </c>
      <c r="I557" s="1030"/>
      <c r="J557" s="1032"/>
      <c r="K557" s="56" t="e">
        <f t="shared" si="212"/>
        <v>#DIV/0!</v>
      </c>
      <c r="L557" s="91"/>
    </row>
    <row r="558" spans="1:12" ht="15.75" hidden="1" customHeight="1" thickBot="1">
      <c r="A558" s="1034"/>
      <c r="B558" s="3900" t="s">
        <v>30</v>
      </c>
      <c r="C558" s="3893"/>
      <c r="D558" s="609"/>
      <c r="E558" s="610">
        <v>0</v>
      </c>
      <c r="F558" s="610">
        <v>0</v>
      </c>
      <c r="G558" s="529">
        <v>0</v>
      </c>
      <c r="H558" s="450" t="e">
        <f t="shared" si="213"/>
        <v>#DIV/0!</v>
      </c>
      <c r="I558" s="610">
        <v>0</v>
      </c>
      <c r="J558" s="610">
        <v>0</v>
      </c>
      <c r="K558" s="78" t="e">
        <f t="shared" si="212"/>
        <v>#DIV/0!</v>
      </c>
      <c r="L558" s="1035"/>
    </row>
    <row r="559" spans="1:12" ht="15.75" thickBot="1">
      <c r="A559" s="1036"/>
      <c r="B559" s="1025">
        <v>85509</v>
      </c>
      <c r="C559" s="602" t="s">
        <v>378</v>
      </c>
      <c r="D559" s="1026"/>
      <c r="E559" s="305">
        <f t="shared" ref="E559:G559" si="218">E560+E562</f>
        <v>1596000</v>
      </c>
      <c r="F559" s="305">
        <f t="shared" si="218"/>
        <v>1596000</v>
      </c>
      <c r="G559" s="649">
        <f t="shared" si="218"/>
        <v>1596000</v>
      </c>
      <c r="H559" s="375">
        <f t="shared" si="213"/>
        <v>1</v>
      </c>
      <c r="I559" s="305">
        <f t="shared" ref="I559:J559" si="219">I560+I562</f>
        <v>162000</v>
      </c>
      <c r="J559" s="648">
        <f t="shared" si="219"/>
        <v>1758000</v>
      </c>
      <c r="K559" s="82">
        <f t="shared" si="212"/>
        <v>1.1015037593984962</v>
      </c>
      <c r="L559" s="41"/>
    </row>
    <row r="560" spans="1:12">
      <c r="A560" s="1037"/>
      <c r="B560" s="3892" t="s">
        <v>25</v>
      </c>
      <c r="C560" s="3892"/>
      <c r="D560" s="605"/>
      <c r="E560" s="491">
        <f t="shared" ref="E560:J560" si="220">E561</f>
        <v>1596000</v>
      </c>
      <c r="F560" s="491">
        <f t="shared" si="220"/>
        <v>1596000</v>
      </c>
      <c r="G560" s="492">
        <f t="shared" si="220"/>
        <v>1596000</v>
      </c>
      <c r="H560" s="379">
        <f t="shared" si="213"/>
        <v>1</v>
      </c>
      <c r="I560" s="309">
        <f t="shared" si="220"/>
        <v>162000</v>
      </c>
      <c r="J560" s="309">
        <f t="shared" si="220"/>
        <v>1758000</v>
      </c>
      <c r="K560" s="47">
        <f t="shared" si="212"/>
        <v>1.1015037593984962</v>
      </c>
      <c r="L560" s="48"/>
    </row>
    <row r="561" spans="1:12" ht="42" customHeight="1">
      <c r="A561" s="1037"/>
      <c r="B561" s="1038"/>
      <c r="C561" s="633" t="s">
        <v>53</v>
      </c>
      <c r="D561" s="687" t="s">
        <v>155</v>
      </c>
      <c r="E561" s="495">
        <v>1596000</v>
      </c>
      <c r="F561" s="314">
        <v>1596000</v>
      </c>
      <c r="G561" s="370">
        <v>1596000</v>
      </c>
      <c r="H561" s="53">
        <f t="shared" si="213"/>
        <v>1</v>
      </c>
      <c r="I561" s="61">
        <v>162000</v>
      </c>
      <c r="J561" s="61">
        <f t="shared" ref="J561" si="221">SUM(G561,I561)</f>
        <v>1758000</v>
      </c>
      <c r="K561" s="56">
        <f t="shared" si="212"/>
        <v>1.1015037593984962</v>
      </c>
      <c r="L561" s="276"/>
    </row>
    <row r="562" spans="1:12" ht="15" customHeight="1" thickBot="1">
      <c r="A562" s="1046"/>
      <c r="B562" s="3900" t="s">
        <v>30</v>
      </c>
      <c r="C562" s="3893"/>
      <c r="D562" s="609"/>
      <c r="E562" s="499">
        <v>0</v>
      </c>
      <c r="F562" s="499">
        <v>0</v>
      </c>
      <c r="G562" s="529">
        <v>0</v>
      </c>
      <c r="H562" s="420"/>
      <c r="I562" s="499">
        <v>0</v>
      </c>
      <c r="J562" s="499">
        <v>0</v>
      </c>
      <c r="K562" s="287"/>
      <c r="L562" s="288"/>
    </row>
    <row r="563" spans="1:12" ht="18" customHeight="1" thickBot="1">
      <c r="A563" s="1036"/>
      <c r="B563" s="1025">
        <v>85510</v>
      </c>
      <c r="C563" s="1178" t="s">
        <v>379</v>
      </c>
      <c r="D563" s="1026"/>
      <c r="E563" s="305">
        <f t="shared" ref="E563:G563" si="222">SUM(E564,E568)</f>
        <v>4390762</v>
      </c>
      <c r="F563" s="305">
        <f t="shared" si="222"/>
        <v>4390762</v>
      </c>
      <c r="G563" s="649">
        <f t="shared" si="222"/>
        <v>6751955</v>
      </c>
      <c r="H563" s="375">
        <f t="shared" si="213"/>
        <v>1.537763832337075</v>
      </c>
      <c r="I563" s="305">
        <f t="shared" ref="I563:J563" si="223">SUM(I564,I568)</f>
        <v>0</v>
      </c>
      <c r="J563" s="648">
        <f t="shared" si="223"/>
        <v>6751955</v>
      </c>
      <c r="K563" s="82">
        <f t="shared" si="212"/>
        <v>1.537763832337075</v>
      </c>
      <c r="L563" s="1039"/>
    </row>
    <row r="564" spans="1:12">
      <c r="A564" s="1037"/>
      <c r="B564" s="3996" t="s">
        <v>25</v>
      </c>
      <c r="C564" s="3892"/>
      <c r="D564" s="605"/>
      <c r="E564" s="491">
        <f t="shared" ref="E564:F564" si="224">SUM(E565:E567)</f>
        <v>4390762</v>
      </c>
      <c r="F564" s="491">
        <f t="shared" si="224"/>
        <v>4390762</v>
      </c>
      <c r="G564" s="492">
        <f t="shared" ref="G564" si="225">SUM(G565:G567)</f>
        <v>6751955</v>
      </c>
      <c r="H564" s="379">
        <f t="shared" si="213"/>
        <v>1.537763832337075</v>
      </c>
      <c r="I564" s="491">
        <f t="shared" ref="I564:J564" si="226">SUM(I565:I567)</f>
        <v>0</v>
      </c>
      <c r="J564" s="309">
        <f t="shared" si="226"/>
        <v>6751955</v>
      </c>
      <c r="K564" s="47">
        <f t="shared" si="212"/>
        <v>1.537763832337075</v>
      </c>
      <c r="L564" s="1040"/>
    </row>
    <row r="565" spans="1:12" ht="15" hidden="1" customHeight="1">
      <c r="A565" s="1037"/>
      <c r="B565" s="686"/>
      <c r="C565" s="1041" t="s">
        <v>365</v>
      </c>
      <c r="D565" s="1029" t="s">
        <v>45</v>
      </c>
      <c r="E565" s="495"/>
      <c r="F565" s="314"/>
      <c r="G565" s="370"/>
      <c r="H565" s="53" t="e">
        <f t="shared" si="213"/>
        <v>#DIV/0!</v>
      </c>
      <c r="I565" s="61"/>
      <c r="J565" s="61"/>
      <c r="K565" s="56" t="e">
        <f t="shared" si="212"/>
        <v>#DIV/0!</v>
      </c>
      <c r="L565" s="1042"/>
    </row>
    <row r="566" spans="1:12" ht="38.25">
      <c r="A566" s="1037"/>
      <c r="B566" s="1043"/>
      <c r="C566" s="633" t="s">
        <v>380</v>
      </c>
      <c r="D566" s="687" t="s">
        <v>381</v>
      </c>
      <c r="E566" s="495">
        <v>4390762</v>
      </c>
      <c r="F566" s="314">
        <v>4390762</v>
      </c>
      <c r="G566" s="370">
        <v>6751955</v>
      </c>
      <c r="H566" s="53">
        <f t="shared" si="213"/>
        <v>1.537763832337075</v>
      </c>
      <c r="I566" s="98">
        <v>0</v>
      </c>
      <c r="J566" s="61">
        <f t="shared" ref="J566" si="227">SUM(G566,I566)</f>
        <v>6751955</v>
      </c>
      <c r="K566" s="56">
        <f t="shared" si="212"/>
        <v>1.537763832337075</v>
      </c>
      <c r="L566" s="330"/>
    </row>
    <row r="567" spans="1:12" s="738" customFormat="1" ht="39.75" hidden="1" customHeight="1" thickBot="1">
      <c r="A567" s="1037"/>
      <c r="B567" s="1044"/>
      <c r="C567" s="1045" t="s">
        <v>382</v>
      </c>
      <c r="D567" s="701" t="s">
        <v>47</v>
      </c>
      <c r="E567" s="114">
        <v>0</v>
      </c>
      <c r="F567" s="867"/>
      <c r="G567" s="868"/>
      <c r="H567" s="53" t="e">
        <f t="shared" si="213"/>
        <v>#DIV/0!</v>
      </c>
      <c r="I567" s="98"/>
      <c r="J567" s="98"/>
      <c r="K567" s="56" t="e">
        <f t="shared" si="212"/>
        <v>#DIV/0!</v>
      </c>
      <c r="L567" s="91"/>
    </row>
    <row r="568" spans="1:12" ht="15.75" thickBot="1">
      <c r="A568" s="1046"/>
      <c r="B568" s="3900" t="s">
        <v>30</v>
      </c>
      <c r="C568" s="3893"/>
      <c r="D568" s="609"/>
      <c r="E568" s="610">
        <v>0</v>
      </c>
      <c r="F568" s="499">
        <v>0</v>
      </c>
      <c r="G568" s="529">
        <v>0</v>
      </c>
      <c r="H568" s="387"/>
      <c r="I568" s="610">
        <v>0</v>
      </c>
      <c r="J568" s="499">
        <v>0</v>
      </c>
      <c r="K568" s="287"/>
      <c r="L568" s="530"/>
    </row>
    <row r="569" spans="1:12" s="1" customFormat="1" ht="15.75" thickBot="1">
      <c r="A569" s="751">
        <v>900</v>
      </c>
      <c r="B569" s="652"/>
      <c r="C569" s="653" t="s">
        <v>383</v>
      </c>
      <c r="D569" s="654"/>
      <c r="E569" s="167">
        <f>SUM(E570,E574,E579,E586,E592,E596)</f>
        <v>602500</v>
      </c>
      <c r="F569" s="167">
        <f>SUM(F570,F574,F579,F586,F592,F596)</f>
        <v>917500</v>
      </c>
      <c r="G569" s="167">
        <f>SUM(G570,G574,G579,G586,G592,G596)</f>
        <v>574700</v>
      </c>
      <c r="H569" s="393">
        <f t="shared" si="213"/>
        <v>0.95385892116182569</v>
      </c>
      <c r="I569" s="167">
        <f>SUM(I570,I574,I579,I586,I592,I596)</f>
        <v>0</v>
      </c>
      <c r="J569" s="166">
        <f>SUM(J570,J574,J579,J586,J592,J596)</f>
        <v>574700</v>
      </c>
      <c r="K569" s="237">
        <f t="shared" si="212"/>
        <v>0.62637602179836516</v>
      </c>
      <c r="L569" s="168"/>
    </row>
    <row r="570" spans="1:12" ht="15.75" hidden="1" thickBot="1">
      <c r="A570" s="755"/>
      <c r="B570" s="1047">
        <v>90005</v>
      </c>
      <c r="C570" s="1048" t="s">
        <v>384</v>
      </c>
      <c r="D570" s="1049"/>
      <c r="E570" s="81">
        <f t="shared" ref="E570:G570" si="228">SUM(E571,E573)</f>
        <v>0</v>
      </c>
      <c r="F570" s="81">
        <f t="shared" si="228"/>
        <v>315000</v>
      </c>
      <c r="G570" s="81">
        <f t="shared" si="228"/>
        <v>0</v>
      </c>
      <c r="H570" s="552"/>
      <c r="I570" s="81">
        <f t="shared" ref="I570:J570" si="229">SUM(I571,I573)</f>
        <v>0</v>
      </c>
      <c r="J570" s="80">
        <f t="shared" si="229"/>
        <v>0</v>
      </c>
      <c r="K570" s="82">
        <f t="shared" si="212"/>
        <v>0</v>
      </c>
      <c r="L570" s="135"/>
    </row>
    <row r="571" spans="1:12" hidden="1">
      <c r="A571" s="758"/>
      <c r="B571" s="3924" t="s">
        <v>25</v>
      </c>
      <c r="C571" s="3924"/>
      <c r="D571" s="759"/>
      <c r="E571" s="1050">
        <f>SUM(E572)</f>
        <v>0</v>
      </c>
      <c r="F571" s="1050">
        <f>SUM(F572)</f>
        <v>315000</v>
      </c>
      <c r="G571" s="1051">
        <f>SUM(G572)</f>
        <v>0</v>
      </c>
      <c r="H571" s="379"/>
      <c r="I571" s="1050">
        <f>SUM(I572)</f>
        <v>0</v>
      </c>
      <c r="J571" s="1179">
        <f>SUM(J572)</f>
        <v>0</v>
      </c>
      <c r="K571" s="47">
        <f t="shared" si="212"/>
        <v>0</v>
      </c>
      <c r="L571" s="139"/>
    </row>
    <row r="572" spans="1:12" ht="25.5" hidden="1">
      <c r="A572" s="758"/>
      <c r="B572" s="1052"/>
      <c r="C572" s="710" t="s">
        <v>54</v>
      </c>
      <c r="D572" s="1053">
        <v>2460</v>
      </c>
      <c r="E572" s="673">
        <v>0</v>
      </c>
      <c r="F572" s="51">
        <v>315000</v>
      </c>
      <c r="G572" s="52">
        <v>0</v>
      </c>
      <c r="H572" s="53"/>
      <c r="I572" s="98">
        <v>0</v>
      </c>
      <c r="J572" s="61">
        <f t="shared" ref="J572" si="230">SUM(G572,I572)</f>
        <v>0</v>
      </c>
      <c r="K572" s="56">
        <f t="shared" si="212"/>
        <v>0</v>
      </c>
      <c r="L572" s="145"/>
    </row>
    <row r="573" spans="1:12" ht="15.75" hidden="1" customHeight="1" thickBot="1">
      <c r="A573" s="758"/>
      <c r="B573" s="3925" t="s">
        <v>30</v>
      </c>
      <c r="C573" s="3925"/>
      <c r="D573" s="1054"/>
      <c r="E573" s="122">
        <v>0</v>
      </c>
      <c r="F573" s="122">
        <v>0</v>
      </c>
      <c r="G573" s="164">
        <v>0</v>
      </c>
      <c r="H573" s="387"/>
      <c r="I573" s="122">
        <v>0</v>
      </c>
      <c r="J573" s="122">
        <v>0</v>
      </c>
      <c r="K573" s="287"/>
      <c r="L573" s="392"/>
    </row>
    <row r="574" spans="1:12" ht="26.25" customHeight="1" thickBot="1">
      <c r="A574" s="758"/>
      <c r="B574" s="713">
        <v>90019</v>
      </c>
      <c r="C574" s="661" t="s">
        <v>385</v>
      </c>
      <c r="D574" s="662"/>
      <c r="E574" s="160">
        <f>SUM(E575,E578)</f>
        <v>400000</v>
      </c>
      <c r="F574" s="160">
        <f>SUM(F575,F578)</f>
        <v>400000</v>
      </c>
      <c r="G574" s="81">
        <f>SUM(G575,G578)</f>
        <v>400000</v>
      </c>
      <c r="H574" s="375">
        <f t="shared" si="213"/>
        <v>1</v>
      </c>
      <c r="I574" s="160">
        <f>SUM(I575,I578)</f>
        <v>0</v>
      </c>
      <c r="J574" s="80">
        <f>SUM(J575,J578)</f>
        <v>400000</v>
      </c>
      <c r="K574" s="82">
        <f t="shared" si="212"/>
        <v>1</v>
      </c>
      <c r="L574" s="135"/>
    </row>
    <row r="575" spans="1:12">
      <c r="A575" s="758"/>
      <c r="B575" s="3923" t="s">
        <v>25</v>
      </c>
      <c r="C575" s="3923"/>
      <c r="D575" s="735"/>
      <c r="E575" s="377">
        <f>SUM(E576:E577)</f>
        <v>400000</v>
      </c>
      <c r="F575" s="377">
        <f>SUM(F576:F577)</f>
        <v>400000</v>
      </c>
      <c r="G575" s="378">
        <f>SUM(G576:G577)</f>
        <v>400000</v>
      </c>
      <c r="H575" s="379">
        <f t="shared" si="213"/>
        <v>1</v>
      </c>
      <c r="I575" s="377">
        <f>SUM(I576:I577)</f>
        <v>0</v>
      </c>
      <c r="J575" s="377">
        <f>SUM(J576:J577)</f>
        <v>400000</v>
      </c>
      <c r="K575" s="47">
        <f t="shared" si="212"/>
        <v>1</v>
      </c>
      <c r="L575" s="139"/>
    </row>
    <row r="576" spans="1:12" ht="16.5" customHeight="1">
      <c r="A576" s="758"/>
      <c r="B576" s="1055"/>
      <c r="C576" s="710" t="s">
        <v>386</v>
      </c>
      <c r="D576" s="790" t="s">
        <v>43</v>
      </c>
      <c r="E576" s="50">
        <v>400000</v>
      </c>
      <c r="F576" s="51">
        <v>400000</v>
      </c>
      <c r="G576" s="52">
        <v>400000</v>
      </c>
      <c r="H576" s="53">
        <f t="shared" si="213"/>
        <v>1</v>
      </c>
      <c r="I576" s="98">
        <v>0</v>
      </c>
      <c r="J576" s="61">
        <f t="shared" ref="J576" si="231">SUM(G576,I576)</f>
        <v>400000</v>
      </c>
      <c r="K576" s="56">
        <f t="shared" si="212"/>
        <v>1</v>
      </c>
      <c r="L576" s="145"/>
    </row>
    <row r="577" spans="1:12" ht="2.25" hidden="1" customHeight="1">
      <c r="A577" s="758"/>
      <c r="B577" s="1056"/>
      <c r="C577" s="1180" t="s">
        <v>64</v>
      </c>
      <c r="D577" s="1057" t="s">
        <v>112</v>
      </c>
      <c r="E577" s="90"/>
      <c r="F577" s="51"/>
      <c r="G577" s="52"/>
      <c r="H577" s="53" t="e">
        <f t="shared" si="213"/>
        <v>#DIV/0!</v>
      </c>
      <c r="I577" s="98"/>
      <c r="J577" s="98"/>
      <c r="K577" s="56" t="e">
        <f t="shared" si="212"/>
        <v>#DIV/0!</v>
      </c>
      <c r="L577" s="142"/>
    </row>
    <row r="578" spans="1:12" s="1" customFormat="1" ht="15" customHeight="1" thickBot="1">
      <c r="A578" s="758"/>
      <c r="B578" s="3936" t="s">
        <v>30</v>
      </c>
      <c r="C578" s="3922"/>
      <c r="D578" s="691"/>
      <c r="E578" s="102">
        <v>0</v>
      </c>
      <c r="F578" s="102">
        <v>0</v>
      </c>
      <c r="G578" s="164">
        <v>0</v>
      </c>
      <c r="H578" s="387"/>
      <c r="I578" s="102">
        <v>0</v>
      </c>
      <c r="J578" s="102">
        <v>0</v>
      </c>
      <c r="K578" s="287"/>
      <c r="L578" s="392"/>
    </row>
    <row r="579" spans="1:12" s="1" customFormat="1" ht="26.25" thickBot="1">
      <c r="A579" s="758"/>
      <c r="B579" s="1058">
        <v>90020</v>
      </c>
      <c r="C579" s="707" t="s">
        <v>387</v>
      </c>
      <c r="D579" s="965"/>
      <c r="E579" s="293">
        <f>SUM(E581:E584)</f>
        <v>101200</v>
      </c>
      <c r="F579" s="293">
        <f>SUM(F581:F584)</f>
        <v>101200</v>
      </c>
      <c r="G579" s="81">
        <f>SUM(G581:G584)</f>
        <v>73400</v>
      </c>
      <c r="H579" s="375">
        <f t="shared" si="213"/>
        <v>0.72529644268774707</v>
      </c>
      <c r="I579" s="293">
        <f>SUM(I581:I584)</f>
        <v>0</v>
      </c>
      <c r="J579" s="80">
        <f>SUM(J581:J584)</f>
        <v>73400</v>
      </c>
      <c r="K579" s="82">
        <f t="shared" si="212"/>
        <v>0.72529644268774707</v>
      </c>
      <c r="L579" s="41"/>
    </row>
    <row r="580" spans="1:12" s="1" customFormat="1" ht="15.75" customHeight="1">
      <c r="A580" s="758"/>
      <c r="B580" s="3923" t="s">
        <v>25</v>
      </c>
      <c r="C580" s="3923"/>
      <c r="D580" s="735"/>
      <c r="E580" s="109">
        <f>SUM(E581:E584)</f>
        <v>101200</v>
      </c>
      <c r="F580" s="109">
        <f>SUM(F581:F584)</f>
        <v>101200</v>
      </c>
      <c r="G580" s="110">
        <f>SUM(G581:G584)</f>
        <v>73400</v>
      </c>
      <c r="H580" s="379">
        <f t="shared" si="213"/>
        <v>0.72529644268774707</v>
      </c>
      <c r="I580" s="109">
        <f>SUM(I581:I584)</f>
        <v>0</v>
      </c>
      <c r="J580" s="84">
        <f>SUM(J581:J584)</f>
        <v>73400</v>
      </c>
      <c r="K580" s="47">
        <f t="shared" si="212"/>
        <v>0.72529644268774707</v>
      </c>
      <c r="L580" s="48"/>
    </row>
    <row r="581" spans="1:12" ht="19.5" customHeight="1">
      <c r="A581" s="758"/>
      <c r="B581" s="3919"/>
      <c r="C581" s="1059" t="s">
        <v>388</v>
      </c>
      <c r="D581" s="968" t="s">
        <v>389</v>
      </c>
      <c r="E581" s="50">
        <v>40000</v>
      </c>
      <c r="F581" s="51">
        <v>40000</v>
      </c>
      <c r="G581" s="52">
        <v>40000</v>
      </c>
      <c r="H581" s="53">
        <f t="shared" si="213"/>
        <v>1</v>
      </c>
      <c r="I581" s="98">
        <v>0</v>
      </c>
      <c r="J581" s="61">
        <f t="shared" ref="J581:J584" si="232">SUM(G581,I581)</f>
        <v>40000</v>
      </c>
      <c r="K581" s="56">
        <f t="shared" si="212"/>
        <v>1</v>
      </c>
      <c r="L581" s="99"/>
    </row>
    <row r="582" spans="1:12" ht="28.5" customHeight="1">
      <c r="A582" s="758"/>
      <c r="B582" s="3920"/>
      <c r="C582" s="676" t="s">
        <v>390</v>
      </c>
      <c r="D582" s="790" t="s">
        <v>391</v>
      </c>
      <c r="E582" s="97">
        <v>60000</v>
      </c>
      <c r="F582" s="400">
        <v>60000</v>
      </c>
      <c r="G582" s="151">
        <v>32200</v>
      </c>
      <c r="H582" s="53">
        <f t="shared" si="213"/>
        <v>0.53666666666666663</v>
      </c>
      <c r="I582" s="266">
        <v>0</v>
      </c>
      <c r="J582" s="61">
        <f t="shared" si="232"/>
        <v>32200</v>
      </c>
      <c r="K582" s="56">
        <f t="shared" si="212"/>
        <v>0.53666666666666663</v>
      </c>
      <c r="L582" s="280"/>
    </row>
    <row r="583" spans="1:12" ht="39" customHeight="1">
      <c r="A583" s="758"/>
      <c r="B583" s="3920"/>
      <c r="C583" s="676" t="s">
        <v>392</v>
      </c>
      <c r="D583" s="790" t="s">
        <v>393</v>
      </c>
      <c r="E583" s="50">
        <v>1000</v>
      </c>
      <c r="F583" s="51">
        <v>1000</v>
      </c>
      <c r="G583" s="52">
        <v>1000</v>
      </c>
      <c r="H583" s="53">
        <f t="shared" si="213"/>
        <v>1</v>
      </c>
      <c r="I583" s="98">
        <v>0</v>
      </c>
      <c r="J583" s="61">
        <f t="shared" si="232"/>
        <v>1000</v>
      </c>
      <c r="K583" s="56">
        <f t="shared" si="212"/>
        <v>1</v>
      </c>
      <c r="L583" s="99"/>
    </row>
    <row r="584" spans="1:12" ht="16.5" customHeight="1">
      <c r="A584" s="758"/>
      <c r="B584" s="3921"/>
      <c r="C584" s="676" t="s">
        <v>394</v>
      </c>
      <c r="D584" s="968" t="s">
        <v>29</v>
      </c>
      <c r="E584" s="50">
        <v>200</v>
      </c>
      <c r="F584" s="51">
        <v>200</v>
      </c>
      <c r="G584" s="52">
        <v>200</v>
      </c>
      <c r="H584" s="53">
        <f t="shared" si="213"/>
        <v>1</v>
      </c>
      <c r="I584" s="98">
        <v>0</v>
      </c>
      <c r="J584" s="61">
        <f t="shared" si="232"/>
        <v>200</v>
      </c>
      <c r="K584" s="56">
        <f t="shared" si="212"/>
        <v>1</v>
      </c>
      <c r="L584" s="99"/>
    </row>
    <row r="585" spans="1:12" s="1" customFormat="1" ht="16.5" customHeight="1" thickBot="1">
      <c r="A585" s="758"/>
      <c r="B585" s="3922" t="s">
        <v>30</v>
      </c>
      <c r="C585" s="3922"/>
      <c r="D585" s="763"/>
      <c r="E585" s="102">
        <v>0</v>
      </c>
      <c r="F585" s="102">
        <v>0</v>
      </c>
      <c r="G585" s="103">
        <v>0</v>
      </c>
      <c r="H585" s="387"/>
      <c r="I585" s="102">
        <v>0</v>
      </c>
      <c r="J585" s="102">
        <v>0</v>
      </c>
      <c r="K585" s="287"/>
      <c r="L585" s="288"/>
    </row>
    <row r="586" spans="1:12" ht="26.25" thickBot="1">
      <c r="A586" s="758"/>
      <c r="B586" s="713">
        <v>90024</v>
      </c>
      <c r="C586" s="661" t="s">
        <v>395</v>
      </c>
      <c r="D586" s="662"/>
      <c r="E586" s="160">
        <f>SUM(E591,E587)</f>
        <v>1300</v>
      </c>
      <c r="F586" s="160">
        <f>SUM(F591,F587)</f>
        <v>1300</v>
      </c>
      <c r="G586" s="160">
        <f>SUM(G591,G587)</f>
        <v>1300</v>
      </c>
      <c r="H586" s="375">
        <f t="shared" si="213"/>
        <v>1</v>
      </c>
      <c r="I586" s="160">
        <f>SUM(I591,I587)</f>
        <v>0</v>
      </c>
      <c r="J586" s="80">
        <f>SUM(J591,J587)</f>
        <v>1300</v>
      </c>
      <c r="K586" s="82">
        <f t="shared" ref="K586:K635" si="233">J586/F586</f>
        <v>1</v>
      </c>
      <c r="L586" s="41"/>
    </row>
    <row r="587" spans="1:12">
      <c r="A587" s="758"/>
      <c r="B587" s="3908" t="s">
        <v>25</v>
      </c>
      <c r="C587" s="3909"/>
      <c r="D587" s="759"/>
      <c r="E587" s="109">
        <f>SUM(E588:E590)</f>
        <v>1300</v>
      </c>
      <c r="F587" s="109">
        <f>SUM(F588:F590)</f>
        <v>1300</v>
      </c>
      <c r="G587" s="110">
        <f>SUM(G588:G590)</f>
        <v>1300</v>
      </c>
      <c r="H587" s="379">
        <f t="shared" si="213"/>
        <v>1</v>
      </c>
      <c r="I587" s="109">
        <f>SUM(I588:I590)</f>
        <v>0</v>
      </c>
      <c r="J587" s="84">
        <f>SUM(J588:J590)</f>
        <v>1300</v>
      </c>
      <c r="K587" s="47">
        <f t="shared" si="233"/>
        <v>1</v>
      </c>
      <c r="L587" s="48"/>
    </row>
    <row r="588" spans="1:12">
      <c r="A588" s="758"/>
      <c r="B588" s="4001"/>
      <c r="C588" s="3933" t="s">
        <v>396</v>
      </c>
      <c r="D588" s="968" t="s">
        <v>391</v>
      </c>
      <c r="E588" s="50">
        <v>100</v>
      </c>
      <c r="F588" s="51">
        <v>100</v>
      </c>
      <c r="G588" s="52">
        <v>100</v>
      </c>
      <c r="H588" s="53">
        <f t="shared" si="213"/>
        <v>1</v>
      </c>
      <c r="I588" s="98">
        <v>0</v>
      </c>
      <c r="J588" s="61">
        <f t="shared" ref="J588:J590" si="234">SUM(G588,I588)</f>
        <v>100</v>
      </c>
      <c r="K588" s="56">
        <f t="shared" si="233"/>
        <v>1</v>
      </c>
      <c r="L588" s="99"/>
    </row>
    <row r="589" spans="1:12" ht="14.25" customHeight="1">
      <c r="A589" s="758"/>
      <c r="B589" s="4002"/>
      <c r="C589" s="3934"/>
      <c r="D589" s="786" t="s">
        <v>43</v>
      </c>
      <c r="E589" s="50">
        <v>1000</v>
      </c>
      <c r="F589" s="51">
        <v>1000</v>
      </c>
      <c r="G589" s="52">
        <v>1000</v>
      </c>
      <c r="H589" s="53">
        <f t="shared" si="213"/>
        <v>1</v>
      </c>
      <c r="I589" s="98">
        <v>0</v>
      </c>
      <c r="J589" s="61">
        <f t="shared" si="234"/>
        <v>1000</v>
      </c>
      <c r="K589" s="56">
        <f t="shared" si="233"/>
        <v>1</v>
      </c>
      <c r="L589" s="99"/>
    </row>
    <row r="590" spans="1:12" ht="13.5" customHeight="1">
      <c r="A590" s="758"/>
      <c r="B590" s="4003"/>
      <c r="C590" s="3935"/>
      <c r="D590" s="786" t="s">
        <v>29</v>
      </c>
      <c r="E590" s="50">
        <v>200</v>
      </c>
      <c r="F590" s="51">
        <v>200</v>
      </c>
      <c r="G590" s="52">
        <v>200</v>
      </c>
      <c r="H590" s="53">
        <f t="shared" si="213"/>
        <v>1</v>
      </c>
      <c r="I590" s="98">
        <v>0</v>
      </c>
      <c r="J590" s="61">
        <f t="shared" si="234"/>
        <v>200</v>
      </c>
      <c r="K590" s="56">
        <f t="shared" si="233"/>
        <v>1</v>
      </c>
      <c r="L590" s="99"/>
    </row>
    <row r="591" spans="1:12" s="1" customFormat="1" ht="16.5" customHeight="1" thickBot="1">
      <c r="A591" s="758"/>
      <c r="B591" s="3922" t="s">
        <v>30</v>
      </c>
      <c r="C591" s="3922"/>
      <c r="D591" s="763"/>
      <c r="E591" s="122">
        <v>0</v>
      </c>
      <c r="F591" s="122">
        <v>0</v>
      </c>
      <c r="G591" s="164">
        <v>0</v>
      </c>
      <c r="H591" s="387"/>
      <c r="I591" s="122">
        <v>0</v>
      </c>
      <c r="J591" s="122">
        <v>0</v>
      </c>
      <c r="K591" s="287"/>
      <c r="L591" s="105"/>
    </row>
    <row r="592" spans="1:12" ht="15.75" thickBot="1">
      <c r="A592" s="758"/>
      <c r="B592" s="660">
        <v>90026</v>
      </c>
      <c r="C592" s="661" t="s">
        <v>397</v>
      </c>
      <c r="D592" s="662"/>
      <c r="E592" s="81">
        <f>E593+E595</f>
        <v>100000</v>
      </c>
      <c r="F592" s="81">
        <f>F593+F595</f>
        <v>100000</v>
      </c>
      <c r="G592" s="81">
        <f t="shared" ref="G592" si="235">G593+G595</f>
        <v>100000</v>
      </c>
      <c r="H592" s="375">
        <f t="shared" si="213"/>
        <v>1</v>
      </c>
      <c r="I592" s="81">
        <f>I593+I595</f>
        <v>0</v>
      </c>
      <c r="J592" s="80">
        <f>J593+J595</f>
        <v>100000</v>
      </c>
      <c r="K592" s="82">
        <f t="shared" si="233"/>
        <v>1</v>
      </c>
      <c r="L592" s="41"/>
    </row>
    <row r="593" spans="1:12">
      <c r="A593" s="758"/>
      <c r="B593" s="3923" t="s">
        <v>25</v>
      </c>
      <c r="C593" s="3923"/>
      <c r="D593" s="735"/>
      <c r="E593" s="109">
        <f>E594</f>
        <v>100000</v>
      </c>
      <c r="F593" s="109">
        <f>F594</f>
        <v>100000</v>
      </c>
      <c r="G593" s="110">
        <f>G594</f>
        <v>100000</v>
      </c>
      <c r="H593" s="379">
        <f t="shared" si="213"/>
        <v>1</v>
      </c>
      <c r="I593" s="109">
        <f>I594</f>
        <v>0</v>
      </c>
      <c r="J593" s="84">
        <f>J594</f>
        <v>100000</v>
      </c>
      <c r="K593" s="47">
        <f t="shared" si="233"/>
        <v>1</v>
      </c>
      <c r="L593" s="48"/>
    </row>
    <row r="594" spans="1:12" ht="43.5" customHeight="1">
      <c r="A594" s="758"/>
      <c r="B594" s="1060"/>
      <c r="C594" s="772" t="s">
        <v>398</v>
      </c>
      <c r="D594" s="786" t="s">
        <v>43</v>
      </c>
      <c r="E594" s="50">
        <v>100000</v>
      </c>
      <c r="F594" s="51">
        <v>100000</v>
      </c>
      <c r="G594" s="52">
        <v>100000</v>
      </c>
      <c r="H594" s="53">
        <f t="shared" si="213"/>
        <v>1</v>
      </c>
      <c r="I594" s="98">
        <v>0</v>
      </c>
      <c r="J594" s="61">
        <f t="shared" ref="J594" si="236">SUM(G594,I594)</f>
        <v>100000</v>
      </c>
      <c r="K594" s="56">
        <f t="shared" si="233"/>
        <v>1</v>
      </c>
      <c r="L594" s="99"/>
    </row>
    <row r="595" spans="1:12" ht="16.5" customHeight="1" thickBot="1">
      <c r="A595" s="762"/>
      <c r="B595" s="3922" t="s">
        <v>30</v>
      </c>
      <c r="C595" s="3922"/>
      <c r="D595" s="763"/>
      <c r="E595" s="102">
        <v>0</v>
      </c>
      <c r="F595" s="102">
        <v>0</v>
      </c>
      <c r="G595" s="103">
        <v>0</v>
      </c>
      <c r="H595" s="420"/>
      <c r="I595" s="102">
        <v>0</v>
      </c>
      <c r="J595" s="102">
        <v>0</v>
      </c>
      <c r="K595" s="259"/>
      <c r="L595" s="288"/>
    </row>
    <row r="596" spans="1:12" ht="0.75" hidden="1" customHeight="1" thickBot="1">
      <c r="A596" s="4026"/>
      <c r="B596" s="693">
        <v>90095</v>
      </c>
      <c r="C596" s="694" t="s">
        <v>50</v>
      </c>
      <c r="D596" s="695"/>
      <c r="E596" s="1062">
        <f>E597+E599</f>
        <v>0</v>
      </c>
      <c r="F596" s="1062">
        <f>F597+F599</f>
        <v>0</v>
      </c>
      <c r="G596" s="1062">
        <f>G597+G599</f>
        <v>0</v>
      </c>
      <c r="H596" s="442" t="e">
        <f t="shared" ref="H596:H638" si="237">G596/E596</f>
        <v>#DIV/0!</v>
      </c>
      <c r="I596" s="1062">
        <f>I597+I599</f>
        <v>0</v>
      </c>
      <c r="J596" s="441">
        <f>J597+J599</f>
        <v>0</v>
      </c>
      <c r="K596" s="56" t="e">
        <f t="shared" si="233"/>
        <v>#DIV/0!</v>
      </c>
      <c r="L596" s="1027"/>
    </row>
    <row r="597" spans="1:12" ht="15.75" hidden="1" thickBot="1">
      <c r="A597" s="4026"/>
      <c r="B597" s="3905" t="s">
        <v>25</v>
      </c>
      <c r="C597" s="3905"/>
      <c r="D597" s="658"/>
      <c r="E597" s="444"/>
      <c r="F597" s="696"/>
      <c r="G597" s="1063"/>
      <c r="H597" s="53" t="e">
        <f t="shared" si="237"/>
        <v>#DIV/0!</v>
      </c>
      <c r="I597" s="444"/>
      <c r="J597" s="696"/>
      <c r="K597" s="56" t="e">
        <f t="shared" si="233"/>
        <v>#DIV/0!</v>
      </c>
      <c r="L597" s="105"/>
    </row>
    <row r="598" spans="1:12" ht="15.75" hidden="1" thickBot="1">
      <c r="A598" s="4026"/>
      <c r="B598" s="4028"/>
      <c r="C598" s="1064"/>
      <c r="D598" s="4031"/>
      <c r="E598" s="447"/>
      <c r="F598" s="356"/>
      <c r="G598" s="357"/>
      <c r="H598" s="53" t="e">
        <f t="shared" si="237"/>
        <v>#DIV/0!</v>
      </c>
      <c r="I598" s="447"/>
      <c r="J598" s="356"/>
      <c r="K598" s="56" t="e">
        <f t="shared" si="233"/>
        <v>#DIV/0!</v>
      </c>
      <c r="L598" s="91"/>
    </row>
    <row r="599" spans="1:12" ht="15" hidden="1" customHeight="1">
      <c r="A599" s="4026"/>
      <c r="B599" s="4029"/>
      <c r="C599" s="1065" t="s">
        <v>399</v>
      </c>
      <c r="D599" s="4032"/>
      <c r="E599" s="447"/>
      <c r="F599" s="75"/>
      <c r="G599" s="76"/>
      <c r="H599" s="53" t="e">
        <f t="shared" si="237"/>
        <v>#DIV/0!</v>
      </c>
      <c r="I599" s="447"/>
      <c r="J599" s="75"/>
      <c r="K599" s="56" t="e">
        <f t="shared" si="233"/>
        <v>#DIV/0!</v>
      </c>
      <c r="L599" s="91"/>
    </row>
    <row r="600" spans="1:12" ht="38.25" hidden="1" customHeight="1">
      <c r="A600" s="4026"/>
      <c r="B600" s="4029"/>
      <c r="C600" s="1065" t="s">
        <v>400</v>
      </c>
      <c r="D600" s="4032"/>
      <c r="E600" s="447"/>
      <c r="F600" s="75"/>
      <c r="G600" s="76"/>
      <c r="H600" s="53" t="e">
        <f t="shared" si="237"/>
        <v>#DIV/0!</v>
      </c>
      <c r="I600" s="447"/>
      <c r="J600" s="75"/>
      <c r="K600" s="56" t="e">
        <f t="shared" si="233"/>
        <v>#DIV/0!</v>
      </c>
      <c r="L600" s="91"/>
    </row>
    <row r="601" spans="1:12" ht="15.75" hidden="1" thickBot="1">
      <c r="A601" s="4026"/>
      <c r="B601" s="4030"/>
      <c r="C601" s="1065"/>
      <c r="D601" s="4033"/>
      <c r="E601" s="447"/>
      <c r="F601" s="75"/>
      <c r="G601" s="76"/>
      <c r="H601" s="53" t="e">
        <f t="shared" si="237"/>
        <v>#DIV/0!</v>
      </c>
      <c r="I601" s="447"/>
      <c r="J601" s="75"/>
      <c r="K601" s="56" t="e">
        <f t="shared" si="233"/>
        <v>#DIV/0!</v>
      </c>
      <c r="L601" s="91"/>
    </row>
    <row r="602" spans="1:12" ht="0.75" hidden="1" customHeight="1" thickBot="1">
      <c r="A602" s="4027"/>
      <c r="B602" s="3995" t="s">
        <v>30</v>
      </c>
      <c r="C602" s="3995"/>
      <c r="D602" s="691"/>
      <c r="E602" s="960"/>
      <c r="F602" s="960"/>
      <c r="G602" s="961"/>
      <c r="H602" s="450" t="e">
        <f t="shared" si="237"/>
        <v>#DIV/0!</v>
      </c>
      <c r="I602" s="960"/>
      <c r="J602" s="960"/>
      <c r="K602" s="78" t="e">
        <f t="shared" si="233"/>
        <v>#DIV/0!</v>
      </c>
      <c r="L602" s="288"/>
    </row>
    <row r="603" spans="1:12" ht="15.75" thickBot="1">
      <c r="A603" s="593">
        <v>921</v>
      </c>
      <c r="B603" s="1066"/>
      <c r="C603" s="1067" t="s">
        <v>401</v>
      </c>
      <c r="D603" s="1068"/>
      <c r="E603" s="1069">
        <f>SUM(E604,E608,E615)</f>
        <v>4377727</v>
      </c>
      <c r="F603" s="1069">
        <f t="shared" ref="F603:G603" si="238">SUM(F604,F608,F615)</f>
        <v>4688280</v>
      </c>
      <c r="G603" s="1069">
        <f t="shared" si="238"/>
        <v>4685722</v>
      </c>
      <c r="H603" s="393">
        <f t="shared" si="237"/>
        <v>1.0703550038638774</v>
      </c>
      <c r="I603" s="1069">
        <f>SUM(I604,I608,I615)</f>
        <v>0</v>
      </c>
      <c r="J603" s="1181">
        <f t="shared" ref="J603" si="239">SUM(J604,J608,J615)</f>
        <v>4685722</v>
      </c>
      <c r="K603" s="237">
        <f t="shared" si="233"/>
        <v>0.99945438412381515</v>
      </c>
      <c r="L603" s="619"/>
    </row>
    <row r="604" spans="1:12" ht="15.75" hidden="1" thickBot="1">
      <c r="A604" s="1070"/>
      <c r="B604" s="685">
        <v>92108</v>
      </c>
      <c r="C604" s="602" t="s">
        <v>402</v>
      </c>
      <c r="D604" s="603"/>
      <c r="E604" s="624">
        <f>SUM(E605,E607)</f>
        <v>0</v>
      </c>
      <c r="F604" s="624">
        <f t="shared" ref="F604:G604" si="240">SUM(F605,F607)</f>
        <v>50000</v>
      </c>
      <c r="G604" s="625">
        <f t="shared" si="240"/>
        <v>0</v>
      </c>
      <c r="H604" s="375"/>
      <c r="I604" s="624">
        <f>SUM(I605,I607)</f>
        <v>0</v>
      </c>
      <c r="J604" s="624">
        <f t="shared" ref="J604" si="241">SUM(J605,J607)</f>
        <v>0</v>
      </c>
      <c r="K604" s="82">
        <f t="shared" si="233"/>
        <v>0</v>
      </c>
      <c r="L604" s="306"/>
    </row>
    <row r="605" spans="1:12" hidden="1">
      <c r="A605" s="823"/>
      <c r="B605" s="4016" t="s">
        <v>25</v>
      </c>
      <c r="C605" s="3953"/>
      <c r="D605" s="829"/>
      <c r="E605" s="1071">
        <f>SUM(E606)</f>
        <v>0</v>
      </c>
      <c r="F605" s="1071">
        <f t="shared" ref="F605:G605" si="242">SUM(F606)</f>
        <v>50000</v>
      </c>
      <c r="G605" s="1072">
        <f t="shared" si="242"/>
        <v>0</v>
      </c>
      <c r="H605" s="379"/>
      <c r="I605" s="1071">
        <f>SUM(I606)</f>
        <v>0</v>
      </c>
      <c r="J605" s="854">
        <f t="shared" ref="J605" si="243">SUM(J606)</f>
        <v>0</v>
      </c>
      <c r="K605" s="47">
        <f t="shared" si="233"/>
        <v>0</v>
      </c>
      <c r="L605" s="1073"/>
    </row>
    <row r="606" spans="1:12" ht="38.25" hidden="1">
      <c r="A606" s="823"/>
      <c r="B606" s="1074"/>
      <c r="C606" s="1075" t="s">
        <v>90</v>
      </c>
      <c r="D606" s="687" t="s">
        <v>91</v>
      </c>
      <c r="E606" s="495">
        <v>0</v>
      </c>
      <c r="F606" s="314">
        <v>50000</v>
      </c>
      <c r="G606" s="370">
        <v>0</v>
      </c>
      <c r="H606" s="53"/>
      <c r="I606" s="98">
        <v>0</v>
      </c>
      <c r="J606" s="61">
        <f t="shared" ref="J606" si="244">SUM(G606,I606)</f>
        <v>0</v>
      </c>
      <c r="K606" s="56">
        <f t="shared" si="233"/>
        <v>0</v>
      </c>
      <c r="L606" s="842"/>
    </row>
    <row r="607" spans="1:12" ht="15.75" hidden="1" thickBot="1">
      <c r="A607" s="1034"/>
      <c r="B607" s="3900" t="s">
        <v>72</v>
      </c>
      <c r="C607" s="3893"/>
      <c r="D607" s="609"/>
      <c r="E607" s="683">
        <v>0</v>
      </c>
      <c r="F607" s="683">
        <v>0</v>
      </c>
      <c r="G607" s="529">
        <v>0</v>
      </c>
      <c r="H607" s="420"/>
      <c r="I607" s="683">
        <v>0</v>
      </c>
      <c r="J607" s="683">
        <v>0</v>
      </c>
      <c r="K607" s="374"/>
      <c r="L607" s="1073"/>
    </row>
    <row r="608" spans="1:12" ht="15.75" thickBot="1">
      <c r="A608" s="4017"/>
      <c r="B608" s="601">
        <v>92116</v>
      </c>
      <c r="C608" s="602" t="s">
        <v>403</v>
      </c>
      <c r="D608" s="603"/>
      <c r="E608" s="305">
        <f>SUM(E609,E614)</f>
        <v>4372727</v>
      </c>
      <c r="F608" s="305">
        <f>SUM(F609,F614)</f>
        <v>4633280</v>
      </c>
      <c r="G608" s="649">
        <f>SUM(G609,G614)</f>
        <v>4613222</v>
      </c>
      <c r="H608" s="375">
        <f t="shared" si="237"/>
        <v>1.0549988599791389</v>
      </c>
      <c r="I608" s="305">
        <f>SUM(I609,I614)</f>
        <v>0</v>
      </c>
      <c r="J608" s="648">
        <f>SUM(J609,J614)</f>
        <v>4613222</v>
      </c>
      <c r="K608" s="82">
        <f t="shared" si="233"/>
        <v>0.99567088542026383</v>
      </c>
      <c r="L608" s="306"/>
    </row>
    <row r="609" spans="1:12" ht="15" customHeight="1">
      <c r="A609" s="4018"/>
      <c r="B609" s="3970" t="s">
        <v>25</v>
      </c>
      <c r="C609" s="4020"/>
      <c r="D609" s="627"/>
      <c r="E609" s="309">
        <f>SUM(E610:E613)</f>
        <v>4372727</v>
      </c>
      <c r="F609" s="309">
        <f t="shared" ref="F609:G609" si="245">SUM(F610:F613)</f>
        <v>4633280</v>
      </c>
      <c r="G609" s="310">
        <f t="shared" si="245"/>
        <v>4613222</v>
      </c>
      <c r="H609" s="379">
        <f t="shared" si="237"/>
        <v>1.0549988599791389</v>
      </c>
      <c r="I609" s="309">
        <f>SUM(I610:I613)</f>
        <v>0</v>
      </c>
      <c r="J609" s="309">
        <f t="shared" ref="J609" si="246">SUM(J610:J613)</f>
        <v>4613222</v>
      </c>
      <c r="K609" s="47">
        <f t="shared" si="233"/>
        <v>0.99567088542026383</v>
      </c>
      <c r="L609" s="311"/>
    </row>
    <row r="610" spans="1:12" s="1079" customFormat="1" ht="38.25" hidden="1">
      <c r="A610" s="4018"/>
      <c r="B610" s="4021"/>
      <c r="C610" s="1076" t="s">
        <v>404</v>
      </c>
      <c r="D610" s="933" t="s">
        <v>78</v>
      </c>
      <c r="E610" s="1077">
        <v>0</v>
      </c>
      <c r="F610" s="1077">
        <v>11</v>
      </c>
      <c r="G610" s="1078">
        <v>0</v>
      </c>
      <c r="H610" s="53"/>
      <c r="I610" s="61">
        <v>0</v>
      </c>
      <c r="J610" s="61">
        <f t="shared" ref="J610:J613" si="247">SUM(G610,I610)</f>
        <v>0</v>
      </c>
      <c r="K610" s="56">
        <f t="shared" si="233"/>
        <v>0</v>
      </c>
      <c r="L610" s="338"/>
    </row>
    <row r="611" spans="1:12" ht="41.25" customHeight="1">
      <c r="A611" s="4018"/>
      <c r="B611" s="4022"/>
      <c r="C611" s="910" t="s">
        <v>405</v>
      </c>
      <c r="D611" s="841">
        <v>2310</v>
      </c>
      <c r="E611" s="495">
        <v>4292727</v>
      </c>
      <c r="F611" s="314">
        <v>4548222</v>
      </c>
      <c r="G611" s="370">
        <v>4528222</v>
      </c>
      <c r="H611" s="53">
        <f t="shared" si="237"/>
        <v>1.0548590674412792</v>
      </c>
      <c r="I611" s="98">
        <v>0</v>
      </c>
      <c r="J611" s="61">
        <f t="shared" si="247"/>
        <v>4528222</v>
      </c>
      <c r="K611" s="56">
        <f t="shared" si="233"/>
        <v>0.9956026772659734</v>
      </c>
      <c r="L611" s="330"/>
    </row>
    <row r="612" spans="1:12" ht="41.25" customHeight="1">
      <c r="A612" s="4018"/>
      <c r="B612" s="4022"/>
      <c r="C612" s="910" t="s">
        <v>406</v>
      </c>
      <c r="D612" s="926">
        <v>2320</v>
      </c>
      <c r="E612" s="514">
        <v>80000</v>
      </c>
      <c r="F612" s="515">
        <v>85000</v>
      </c>
      <c r="G612" s="516">
        <v>85000</v>
      </c>
      <c r="H612" s="53">
        <f t="shared" si="237"/>
        <v>1.0625</v>
      </c>
      <c r="I612" s="61">
        <v>0</v>
      </c>
      <c r="J612" s="61">
        <f t="shared" si="247"/>
        <v>85000</v>
      </c>
      <c r="K612" s="56">
        <f t="shared" si="233"/>
        <v>1</v>
      </c>
      <c r="L612" s="528"/>
    </row>
    <row r="613" spans="1:12" ht="38.25" hidden="1">
      <c r="A613" s="4018"/>
      <c r="B613" s="4023"/>
      <c r="C613" s="1080" t="s">
        <v>407</v>
      </c>
      <c r="D613" s="895">
        <v>2910</v>
      </c>
      <c r="E613" s="939">
        <v>0</v>
      </c>
      <c r="F613" s="1081">
        <v>47</v>
      </c>
      <c r="G613" s="1082">
        <v>0</v>
      </c>
      <c r="H613" s="53"/>
      <c r="I613" s="61">
        <v>0</v>
      </c>
      <c r="J613" s="61">
        <f t="shared" si="247"/>
        <v>0</v>
      </c>
      <c r="K613" s="56">
        <f t="shared" si="233"/>
        <v>0</v>
      </c>
      <c r="L613" s="528"/>
    </row>
    <row r="614" spans="1:12" ht="15.75" thickBot="1">
      <c r="A614" s="4018"/>
      <c r="B614" s="3966" t="s">
        <v>30</v>
      </c>
      <c r="C614" s="3967"/>
      <c r="D614" s="609"/>
      <c r="E614" s="499">
        <v>0</v>
      </c>
      <c r="F614" s="499">
        <v>0</v>
      </c>
      <c r="G614" s="500">
        <v>0</v>
      </c>
      <c r="H614" s="387"/>
      <c r="I614" s="499">
        <v>0</v>
      </c>
      <c r="J614" s="499">
        <v>0</v>
      </c>
      <c r="K614" s="287"/>
      <c r="L614" s="325"/>
    </row>
    <row r="615" spans="1:12" ht="15" customHeight="1" thickBot="1">
      <c r="A615" s="4018"/>
      <c r="B615" s="685">
        <v>92195</v>
      </c>
      <c r="C615" s="602" t="s">
        <v>50</v>
      </c>
      <c r="D615" s="603"/>
      <c r="E615" s="649">
        <f>E616+E618</f>
        <v>5000</v>
      </c>
      <c r="F615" s="649">
        <f>F616+F618</f>
        <v>5000</v>
      </c>
      <c r="G615" s="649">
        <f>G616+G618</f>
        <v>72500</v>
      </c>
      <c r="H615" s="375">
        <f t="shared" si="237"/>
        <v>14.5</v>
      </c>
      <c r="I615" s="649">
        <f>I616+I618</f>
        <v>0</v>
      </c>
      <c r="J615" s="648">
        <f>J616+J618</f>
        <v>72500</v>
      </c>
      <c r="K615" s="82">
        <f t="shared" si="233"/>
        <v>14.5</v>
      </c>
      <c r="L615" s="306"/>
    </row>
    <row r="616" spans="1:12" ht="14.25" customHeight="1">
      <c r="A616" s="4018"/>
      <c r="B616" s="3970" t="s">
        <v>25</v>
      </c>
      <c r="C616" s="4020"/>
      <c r="D616" s="605"/>
      <c r="E616" s="645">
        <f>SUM(E617:E617)</f>
        <v>5000</v>
      </c>
      <c r="F616" s="645">
        <f>SUM(F617:F617)</f>
        <v>5000</v>
      </c>
      <c r="G616" s="858">
        <f>SUM(G617:G617)</f>
        <v>72500</v>
      </c>
      <c r="H616" s="379">
        <f t="shared" si="237"/>
        <v>14.5</v>
      </c>
      <c r="I616" s="645">
        <f>SUM(I617:I617)</f>
        <v>0</v>
      </c>
      <c r="J616" s="309">
        <f>SUM(J617:J617)</f>
        <v>72500</v>
      </c>
      <c r="K616" s="47">
        <f t="shared" si="233"/>
        <v>14.5</v>
      </c>
      <c r="L616" s="311"/>
    </row>
    <row r="617" spans="1:12" ht="53.25" customHeight="1">
      <c r="A617" s="4018"/>
      <c r="B617" s="964"/>
      <c r="C617" s="879" t="s">
        <v>408</v>
      </c>
      <c r="D617" s="933" t="s">
        <v>174</v>
      </c>
      <c r="E617" s="495">
        <v>5000</v>
      </c>
      <c r="F617" s="314">
        <v>5000</v>
      </c>
      <c r="G617" s="370">
        <v>72500</v>
      </c>
      <c r="H617" s="53">
        <f t="shared" si="237"/>
        <v>14.5</v>
      </c>
      <c r="I617" s="98">
        <v>0</v>
      </c>
      <c r="J617" s="61">
        <f t="shared" ref="J617" si="248">SUM(G617,I617)</f>
        <v>72500</v>
      </c>
      <c r="K617" s="56">
        <f t="shared" si="233"/>
        <v>14.5</v>
      </c>
      <c r="L617" s="330"/>
    </row>
    <row r="618" spans="1:12" ht="15.75" customHeight="1" thickBot="1">
      <c r="A618" s="4019"/>
      <c r="B618" s="4024" t="s">
        <v>30</v>
      </c>
      <c r="C618" s="4025"/>
      <c r="D618" s="1083"/>
      <c r="E618" s="610">
        <v>0</v>
      </c>
      <c r="F618" s="610">
        <v>0</v>
      </c>
      <c r="G618" s="611">
        <v>0</v>
      </c>
      <c r="H618" s="420"/>
      <c r="I618" s="610">
        <v>0</v>
      </c>
      <c r="J618" s="610">
        <v>0</v>
      </c>
      <c r="K618" s="374"/>
      <c r="L618" s="311"/>
    </row>
    <row r="619" spans="1:12" s="1" customFormat="1" ht="31.5" customHeight="1" thickBot="1">
      <c r="A619" s="651">
        <v>925</v>
      </c>
      <c r="B619" s="1084"/>
      <c r="C619" s="1085" t="s">
        <v>409</v>
      </c>
      <c r="D619" s="1086"/>
      <c r="E619" s="166">
        <f t="shared" ref="E619:G619" si="249">E620+E626</f>
        <v>619000</v>
      </c>
      <c r="F619" s="166">
        <f t="shared" si="249"/>
        <v>754000</v>
      </c>
      <c r="G619" s="167">
        <f t="shared" si="249"/>
        <v>650000</v>
      </c>
      <c r="H619" s="393">
        <f t="shared" si="237"/>
        <v>1.0500807754442649</v>
      </c>
      <c r="I619" s="166">
        <f t="shared" ref="I619:J619" si="250">I620+I626</f>
        <v>0</v>
      </c>
      <c r="J619" s="166">
        <f t="shared" si="250"/>
        <v>650000</v>
      </c>
      <c r="K619" s="237">
        <f t="shared" si="233"/>
        <v>0.86206896551724133</v>
      </c>
      <c r="L619" s="453"/>
    </row>
    <row r="620" spans="1:12" s="1" customFormat="1" ht="16.5" customHeight="1" thickBot="1">
      <c r="A620" s="1087"/>
      <c r="B620" s="713">
        <v>92502</v>
      </c>
      <c r="C620" s="756" t="s">
        <v>410</v>
      </c>
      <c r="D620" s="757"/>
      <c r="E620" s="159">
        <f t="shared" ref="E620:G620" si="251">E621+E625</f>
        <v>619000</v>
      </c>
      <c r="F620" s="159">
        <f t="shared" si="251"/>
        <v>754000</v>
      </c>
      <c r="G620" s="160">
        <f t="shared" si="251"/>
        <v>650000</v>
      </c>
      <c r="H620" s="552">
        <f t="shared" si="237"/>
        <v>1.0500807754442649</v>
      </c>
      <c r="I620" s="159">
        <f t="shared" ref="I620:J620" si="252">I621+I625</f>
        <v>0</v>
      </c>
      <c r="J620" s="159">
        <f t="shared" si="252"/>
        <v>650000</v>
      </c>
      <c r="K620" s="82">
        <f t="shared" si="233"/>
        <v>0.86206896551724133</v>
      </c>
      <c r="L620" s="135"/>
    </row>
    <row r="621" spans="1:12" s="1" customFormat="1" ht="15.75" customHeight="1">
      <c r="A621" s="1087"/>
      <c r="B621" s="3908" t="s">
        <v>25</v>
      </c>
      <c r="C621" s="3932"/>
      <c r="D621" s="807"/>
      <c r="E621" s="84">
        <f>SUM(E622:E624)</f>
        <v>619000</v>
      </c>
      <c r="F621" s="84">
        <f>SUM(F622:F624)</f>
        <v>754000</v>
      </c>
      <c r="G621" s="85">
        <f>SUM(G622:G624)</f>
        <v>650000</v>
      </c>
      <c r="H621" s="379">
        <f t="shared" si="237"/>
        <v>1.0500807754442649</v>
      </c>
      <c r="I621" s="84">
        <f>SUM(I622:I624)</f>
        <v>0</v>
      </c>
      <c r="J621" s="84">
        <f>SUM(J622:J624)</f>
        <v>650000</v>
      </c>
      <c r="K621" s="47">
        <f t="shared" si="233"/>
        <v>0.86206896551724133</v>
      </c>
      <c r="L621" s="139"/>
    </row>
    <row r="622" spans="1:12" s="1" customFormat="1" ht="27.75" customHeight="1">
      <c r="A622" s="1088"/>
      <c r="B622" s="1089"/>
      <c r="C622" s="1090" t="s">
        <v>328</v>
      </c>
      <c r="D622" s="781" t="s">
        <v>274</v>
      </c>
      <c r="E622" s="1091">
        <v>619000</v>
      </c>
      <c r="F622" s="1091">
        <v>619000</v>
      </c>
      <c r="G622" s="250">
        <v>650000</v>
      </c>
      <c r="H622" s="53">
        <f t="shared" si="237"/>
        <v>1.0500807754442649</v>
      </c>
      <c r="I622" s="98">
        <v>0</v>
      </c>
      <c r="J622" s="61">
        <f t="shared" ref="J622:J623" si="253">SUM(G622,I622)</f>
        <v>650000</v>
      </c>
      <c r="K622" s="56">
        <f t="shared" si="233"/>
        <v>1.0500807754442649</v>
      </c>
      <c r="L622" s="142"/>
    </row>
    <row r="623" spans="1:12" s="1" customFormat="1" ht="25.5" hidden="1">
      <c r="A623" s="1087"/>
      <c r="B623" s="1092"/>
      <c r="C623" s="967" t="s">
        <v>54</v>
      </c>
      <c r="D623" s="729">
        <v>2460</v>
      </c>
      <c r="E623" s="50">
        <v>0</v>
      </c>
      <c r="F623" s="51">
        <v>135000</v>
      </c>
      <c r="G623" s="52">
        <v>0</v>
      </c>
      <c r="H623" s="53"/>
      <c r="I623" s="98">
        <v>0</v>
      </c>
      <c r="J623" s="61">
        <f t="shared" si="253"/>
        <v>0</v>
      </c>
      <c r="K623" s="56">
        <f t="shared" si="233"/>
        <v>0</v>
      </c>
      <c r="L623" s="145"/>
    </row>
    <row r="624" spans="1:12" s="1" customFormat="1" ht="25.5" hidden="1">
      <c r="A624" s="1087"/>
      <c r="B624" s="1093"/>
      <c r="C624" s="1065" t="s">
        <v>54</v>
      </c>
      <c r="D624" s="1094">
        <v>2460</v>
      </c>
      <c r="E624" s="114">
        <v>0</v>
      </c>
      <c r="F624" s="51"/>
      <c r="G624" s="52"/>
      <c r="H624" s="53"/>
      <c r="I624" s="98"/>
      <c r="J624" s="98"/>
      <c r="K624" s="56" t="e">
        <f t="shared" si="233"/>
        <v>#DIV/0!</v>
      </c>
      <c r="L624" s="91"/>
    </row>
    <row r="625" spans="1:12" s="1" customFormat="1" ht="15.75" customHeight="1" thickBot="1">
      <c r="A625" s="1095"/>
      <c r="B625" s="3936" t="s">
        <v>30</v>
      </c>
      <c r="C625" s="3925"/>
      <c r="D625" s="1054"/>
      <c r="E625" s="122">
        <v>0</v>
      </c>
      <c r="F625" s="122">
        <v>0</v>
      </c>
      <c r="G625" s="103">
        <v>0</v>
      </c>
      <c r="H625" s="258"/>
      <c r="I625" s="122">
        <v>0</v>
      </c>
      <c r="J625" s="122">
        <v>0</v>
      </c>
      <c r="K625" s="259"/>
      <c r="L625" s="288"/>
    </row>
    <row r="626" spans="1:12" ht="21.75" hidden="1" customHeight="1" thickBot="1">
      <c r="A626" s="1061"/>
      <c r="B626" s="1096">
        <v>92595</v>
      </c>
      <c r="C626" s="1097" t="s">
        <v>50</v>
      </c>
      <c r="D626" s="1098"/>
      <c r="E626" s="766">
        <v>0</v>
      </c>
      <c r="F626" s="356"/>
      <c r="G626" s="357"/>
      <c r="H626" s="53" t="e">
        <f t="shared" si="237"/>
        <v>#DIV/0!</v>
      </c>
      <c r="I626" s="766">
        <v>0</v>
      </c>
      <c r="J626" s="356"/>
      <c r="K626" s="56" t="e">
        <f t="shared" si="233"/>
        <v>#DIV/0!</v>
      </c>
      <c r="L626" s="219"/>
    </row>
    <row r="627" spans="1:12" ht="15" hidden="1" customHeight="1">
      <c r="A627" s="911"/>
      <c r="B627" s="4011" t="s">
        <v>25</v>
      </c>
      <c r="C627" s="3957"/>
      <c r="D627" s="1099"/>
      <c r="E627" s="444">
        <v>0</v>
      </c>
      <c r="F627" s="75"/>
      <c r="G627" s="76"/>
      <c r="H627" s="53" t="e">
        <f t="shared" si="237"/>
        <v>#DIV/0!</v>
      </c>
      <c r="I627" s="444">
        <v>0</v>
      </c>
      <c r="J627" s="75"/>
      <c r="K627" s="56" t="e">
        <f t="shared" si="233"/>
        <v>#DIV/0!</v>
      </c>
      <c r="L627" s="91"/>
    </row>
    <row r="628" spans="1:12" ht="26.25" hidden="1" thickBot="1">
      <c r="A628" s="911"/>
      <c r="B628" s="1093"/>
      <c r="C628" s="1065" t="s">
        <v>54</v>
      </c>
      <c r="D628" s="1094">
        <v>2460</v>
      </c>
      <c r="E628" s="447">
        <v>0</v>
      </c>
      <c r="F628" s="75"/>
      <c r="G628" s="76"/>
      <c r="H628" s="53" t="e">
        <f t="shared" si="237"/>
        <v>#DIV/0!</v>
      </c>
      <c r="I628" s="447">
        <v>0</v>
      </c>
      <c r="J628" s="75"/>
      <c r="K628" s="56" t="e">
        <f t="shared" si="233"/>
        <v>#DIV/0!</v>
      </c>
      <c r="L628" s="91"/>
    </row>
    <row r="629" spans="1:12" ht="15" hidden="1" customHeight="1" thickBot="1">
      <c r="A629" s="911"/>
      <c r="B629" s="4012" t="s">
        <v>72</v>
      </c>
      <c r="C629" s="4013"/>
      <c r="D629" s="708"/>
      <c r="E629" s="1100">
        <v>0</v>
      </c>
      <c r="F629" s="363"/>
      <c r="G629" s="364"/>
      <c r="H629" s="450" t="e">
        <f t="shared" si="237"/>
        <v>#DIV/0!</v>
      </c>
      <c r="I629" s="1100">
        <v>0</v>
      </c>
      <c r="J629" s="363"/>
      <c r="K629" s="78" t="e">
        <f t="shared" si="233"/>
        <v>#DIV/0!</v>
      </c>
      <c r="L629" s="79"/>
    </row>
    <row r="630" spans="1:12" ht="30.75" customHeight="1" thickBot="1">
      <c r="A630" s="4014" t="s">
        <v>411</v>
      </c>
      <c r="B630" s="4015"/>
      <c r="C630" s="4015"/>
      <c r="D630" s="1101"/>
      <c r="E630" s="1102">
        <f>E9+E40+E46+E51+E67+E129+E141+E151+E174+E180+E199+E272+E277+E283+E295+E361+E424+E469+E509+E551+E569+E603+E619</f>
        <v>1402239891</v>
      </c>
      <c r="F630" s="1102">
        <f>F9+F40+F46+F51+F67+F129+F141+F151+F174+F180+F199+F272+F277+F283+F295+F361+F424+F469+F509+F551+F569+F603+F619</f>
        <v>1482810029</v>
      </c>
      <c r="G630" s="1102">
        <f>G9+G40+G46+G51+G67+G129+G141+G151+G174+G180+G199+G272+G277+G283+G295+G361+G424+G469+G509+G551+G569+G603+G619</f>
        <v>1514636147</v>
      </c>
      <c r="H630" s="1103">
        <f t="shared" si="237"/>
        <v>1.080154798562923</v>
      </c>
      <c r="I630" s="1102">
        <f>I9+I40+I46+I51+I67+I129+I141+I151+I174+I180+I199+I272+I277+I283+I295+I361+I424+I469+I509+I551+I569+I603+I619</f>
        <v>318601086</v>
      </c>
      <c r="J630" s="1102">
        <f>J9+J40+J46+J51+J67+J129+J141+J151+J174+J180+J199+J272+J277+J283+J295+J361+J424+J469+J509+J551+J569+J603+J619</f>
        <v>1833237233</v>
      </c>
      <c r="K630" s="1104">
        <f t="shared" si="233"/>
        <v>1.2363264323457042</v>
      </c>
      <c r="L630" s="1105"/>
    </row>
    <row r="631" spans="1:12">
      <c r="A631" s="1106" t="s">
        <v>412</v>
      </c>
      <c r="B631" s="1107"/>
      <c r="C631" s="1107"/>
      <c r="D631" s="1108"/>
      <c r="E631" s="1109"/>
      <c r="F631" s="1110"/>
      <c r="G631" s="256"/>
      <c r="H631" s="379"/>
      <c r="I631" s="257"/>
      <c r="J631" s="256"/>
      <c r="K631" s="47"/>
      <c r="L631" s="665"/>
    </row>
    <row r="632" spans="1:12">
      <c r="A632" s="1111" t="s">
        <v>413</v>
      </c>
      <c r="B632" s="1112"/>
      <c r="C632" s="1113"/>
      <c r="D632" s="1114"/>
      <c r="E632" s="1115">
        <f>E11+E18+E26+E34+E42+E48+E53+E69+E82+E90+E98+E103+E124+E131+E138+E143+E153+E159+E163+E176+E193+E201+E206+E224+E229+E234+E238+E242+E274+E279+E285+E291+E297+E301+E307+E311+E320+E324+E328+E343+E363+E372+E382+E399+E414+E426+E438+E452+E456+E460+E471+E476+E489+E517+E522+E534+E560+E564+E571+E575+E580+E587+E593+E605+E609+E616+E621+E355</f>
        <v>1082551790</v>
      </c>
      <c r="F632" s="1115">
        <f>F11+F18+F26+F34+F42+F48+F53+F69+F82+F90+F98+F103+F124+F131+F138+F143+F153+F159+F163+F176+F193+F201+F206+F224+F229+F234+F238+F242+F274+F279+F285+F291+F297+F301+F307+F311+F320+F324+F328+F343+F363+F372+F382+F399+F414+F426+F438+F452+F456+F460+F471+F476+F489+F517+F522+F534+F560+F564+F571+F575+F580+F587+F593+F605+F609+F616+F621+F355</f>
        <v>1141374783</v>
      </c>
      <c r="G632" s="1116">
        <f>G11+G18+G26+G34+G42+G48+G53+G69+G82+G90+G98+G103+G124+G131+G138+G143+G153+G159+G163+G176+G193+G201+G206+G224+G229+G234+G238+G242+G274+G279+G285+G291+G297+G301+G307+G311+G320+G324+G328+G343+G363+G372+G382+G399+G414+G426+G438+G452+G456+G460+G471+G476+G489+G517+G522+G534+G560+G564+G571+G575+G580+G587+G593+G605+G609+G616+G621+G355</f>
        <v>1032026730</v>
      </c>
      <c r="H632" s="1117">
        <f t="shared" si="237"/>
        <v>0.95332781261208754</v>
      </c>
      <c r="I632" s="1115">
        <f>I11+I18+I26+I34+I42+I48+I53+I69+I82+I90+I98+I103+I124+I131+I138+I143+I153+I159+I163+I176+I193+I201+I206+I224+I229+I234+I238+I242+I274+I279+I285+I291+I297+I301+I307+I311+I320+I324+I328+I343+I363+I372+I382+I399+I414+I426+I438+I452+I456+I460+I471+I476+I489+I517+I522+I534+I560+I564+I571+I575+I580+I587+I593+I605+I609+I616+I621+I355</f>
        <v>318446487</v>
      </c>
      <c r="J632" s="1116">
        <f>J11+J18+J26+J34+J42+J48+J53+J69+J82+J90+J98+J103+J124+J131+J138+J143+J153+J159+J163+J176+J193+J201+J206+J224+J229+J234+J238+J242+J274+J279+J285+J291+J297+J301+J307+J311+J320+J324+J328+J343+J363+J372+J382+J399+J414+J426+J438+J452+J456+J460+J471+J476+J489+J517+J522+J534+J560+J564+J571+J575+J580+J587+J593+J605+J609+J616+J621+J355</f>
        <v>1350473217</v>
      </c>
      <c r="K632" s="1118">
        <f t="shared" si="233"/>
        <v>1.1831987504143062</v>
      </c>
      <c r="L632" s="1119"/>
    </row>
    <row r="633" spans="1:12" hidden="1">
      <c r="A633" s="4004" t="s">
        <v>414</v>
      </c>
      <c r="B633" s="4005"/>
      <c r="C633" s="4005"/>
      <c r="D633" s="1120"/>
      <c r="E633" s="257"/>
      <c r="F633" s="257"/>
      <c r="G633" s="256"/>
      <c r="H633" s="1117" t="e">
        <f t="shared" si="237"/>
        <v>#DIV/0!</v>
      </c>
      <c r="I633" s="257"/>
      <c r="J633" s="256"/>
      <c r="K633" s="1118" t="e">
        <f t="shared" si="233"/>
        <v>#DIV/0!</v>
      </c>
      <c r="L633" s="1119"/>
    </row>
    <row r="634" spans="1:12" hidden="1">
      <c r="A634" s="4004" t="s">
        <v>415</v>
      </c>
      <c r="B634" s="4005"/>
      <c r="C634" s="4005"/>
      <c r="D634" s="1120"/>
      <c r="E634" s="257"/>
      <c r="F634" s="257"/>
      <c r="G634" s="256"/>
      <c r="H634" s="1117" t="e">
        <f t="shared" si="237"/>
        <v>#DIV/0!</v>
      </c>
      <c r="I634" s="257"/>
      <c r="J634" s="256"/>
      <c r="K634" s="1118" t="e">
        <f t="shared" si="233"/>
        <v>#DIV/0!</v>
      </c>
      <c r="L634" s="1119"/>
    </row>
    <row r="635" spans="1:12" s="1130" customFormat="1" ht="15.75" thickBot="1">
      <c r="A635" s="1121" t="s">
        <v>416</v>
      </c>
      <c r="B635" s="1122"/>
      <c r="C635" s="1123"/>
      <c r="D635" s="1124"/>
      <c r="E635" s="1125">
        <f>E15+E24+E31+E39+E45+E50+E78+E84+E96+E101+E109+E122+E128+E148+E157+E161+E169+E173+E178+E185+E198+E204+E220+E227+E240+E282+E317+E370+E412+E435+E450+E629+E264+E289+E294+E299+E309+E314+E326+E335+E349+E366+E380+E397+E408+E439+E454+E467+E474+E487+E520+E532+E558+E562+E568+E578+E585+E591+E625+E618+E57+E304+E421+E429+E504+E544+E614+E140+E136+E602+E191+E515+E550+E595+E607+E444+E573+E322+E276+E236+E458+E232+E358</f>
        <v>319688101</v>
      </c>
      <c r="F635" s="1125">
        <f>F15+F24+F31+F39+F45+F50+F78+F84+F96+F101+F109+F122+F128+F148+F157+F161+F169+F173+F178+F185+F198+F204+F220+F227+F240+F282+F317+F370+F412+F435+F450+F629+F264+F289+F294+F299+F309+F314+F326+F335+F349+F366+F380+F397+F408+F439+F454+F467+F474+F487+F520+F532+F558+F562+F568+F578+F585+F591+F625+F618+F57+F304+F421+F429+F504+F544+F614+F140+F136+F602+F191+F515+F550+F595+F607+F444+F573+F322+F276+F236+F458+F232+F358</f>
        <v>341435246</v>
      </c>
      <c r="G635" s="1126">
        <f>G15+G24+G31+G39+G45+G50+G78+G84+G96+G101+G109+G122+G128+G148+G157+G161+G169+G173+G178+G185+G198+G204+G220+G227+G240+G282+G317+G370+G412+G435+G450+G629+G264+G289+G294+G299+G309+G314+G326+G335+G349+G366+G380+G397+G408+G439+G454+G467+G474+G487+G520+G532+G558+G562+G568+G578+G585+G591+G625+G618+G57+G304+G421+G429+G504+G544+G614+G140+G136+G602+G191+G515+G550+G595+G607+G444+G573+G322+G276+G236+G458+G232+G358</f>
        <v>482609417</v>
      </c>
      <c r="H635" s="1127">
        <f t="shared" si="237"/>
        <v>1.5096258368402644</v>
      </c>
      <c r="I635" s="1125">
        <f>I15+I24+I31+I39+I45+I50+I78+I84+I96+I101+I109+I122+I128+I148+I157+I161+I169+I173+I178+I185+I198+I204+I220+I227+I240+I282+I317+I370+I412+I435+I450+I629+I264+I289+I294+I299+I309+I314+I326+I335+I349+I366+I380+I397+I408+I439+I454+I467+I474+I487+I520+I532+I558+I562+I568+I578+I585+I591+I625+I618+I57+I304+I421+I429+I504+I544+I614+I140+I136+I602+I191+I515+I550+I595+I607+I444+I573+I322+I276+I236+I458+I232+I358</f>
        <v>154599</v>
      </c>
      <c r="J635" s="1126">
        <f>J15+J24+J31+J39+J45+J50+J78+J84+J96+J101+J109+J122+J128+J148+J157+J161+J169+J173+J178+J185+J198+J204+J220+J227+J240+J282+J317+J370+J412+J435+J450+J629+J264+J289+J294+J299+J309+J314+J326+J335+J349+J366+J380+J397+J408+J439+J454+J467+J474+J487+J520+J532+J558+J562+J568+J578+J585+J591+J625+J618+J57+J304+J421+J429+J504+J544+J614+J140+J136+J602+J191+J515+J550+J595+J607+J444+J573+J322+J276+J236+J458+J232+J358</f>
        <v>482764016</v>
      </c>
      <c r="K635" s="1128">
        <f t="shared" si="233"/>
        <v>1.4139255441718515</v>
      </c>
      <c r="L635" s="1129"/>
    </row>
    <row r="636" spans="1:12" s="1130" customFormat="1" hidden="1">
      <c r="A636" s="4006" t="s">
        <v>414</v>
      </c>
      <c r="B636" s="4007"/>
      <c r="C636" s="4007"/>
      <c r="D636" s="1131"/>
      <c r="E636" s="1132">
        <v>316686501</v>
      </c>
      <c r="F636" s="1133"/>
      <c r="G636" s="1133"/>
      <c r="H636" s="115">
        <f t="shared" si="237"/>
        <v>0</v>
      </c>
      <c r="I636" s="1134"/>
      <c r="J636" s="1135"/>
      <c r="K636" s="1135"/>
      <c r="L636" s="1136"/>
    </row>
    <row r="637" spans="1:12" s="1130" customFormat="1" ht="15.75" hidden="1" thickBot="1">
      <c r="A637" s="4008" t="s">
        <v>415</v>
      </c>
      <c r="B637" s="4009"/>
      <c r="C637" s="4009"/>
      <c r="D637" s="1137"/>
      <c r="E637" s="1138">
        <v>3001600</v>
      </c>
      <c r="F637" s="1133"/>
      <c r="G637" s="1133"/>
      <c r="H637" s="30">
        <f t="shared" si="237"/>
        <v>0</v>
      </c>
      <c r="I637" s="1134"/>
      <c r="J637" s="1135"/>
      <c r="K637" s="1135"/>
      <c r="L637" s="1136"/>
    </row>
    <row r="638" spans="1:12" s="1130" customFormat="1" hidden="1">
      <c r="A638" s="746"/>
      <c r="B638" s="746"/>
      <c r="C638" s="746"/>
      <c r="D638" s="746"/>
      <c r="E638" s="1139"/>
      <c r="F638" s="1133">
        <f>SUM(F632:F635)</f>
        <v>1482810029</v>
      </c>
      <c r="G638" s="1133">
        <f>SUM(G632:G635)</f>
        <v>1514636147</v>
      </c>
      <c r="H638" s="30" t="e">
        <f t="shared" si="237"/>
        <v>#DIV/0!</v>
      </c>
      <c r="I638" s="1134"/>
      <c r="J638" s="1135"/>
      <c r="K638" s="1135"/>
      <c r="L638" s="1136"/>
    </row>
    <row r="639" spans="1:12" s="1130" customFormat="1" ht="15.75">
      <c r="A639" s="746"/>
      <c r="B639" s="746"/>
      <c r="C639" s="1140"/>
      <c r="D639" s="1140"/>
      <c r="E639" s="1139"/>
      <c r="F639" s="1139"/>
      <c r="G639" s="1139"/>
      <c r="H639" s="1141"/>
      <c r="I639" s="1139"/>
      <c r="J639" s="1139"/>
      <c r="K639" s="1139"/>
      <c r="L639" s="1136"/>
    </row>
    <row r="640" spans="1:12" s="1130" customFormat="1" ht="15.75" hidden="1">
      <c r="A640" s="746"/>
      <c r="B640" s="746"/>
      <c r="C640" s="1142"/>
      <c r="E640" s="1139"/>
      <c r="F640" s="1133"/>
      <c r="G640" s="1133"/>
      <c r="H640" s="1141"/>
      <c r="I640" s="1133"/>
      <c r="J640" s="1133"/>
      <c r="K640" s="1133"/>
      <c r="L640" s="1136"/>
    </row>
    <row r="641" spans="1:12" s="1130" customFormat="1" hidden="1">
      <c r="A641" s="746"/>
      <c r="B641" s="746"/>
      <c r="C641" s="746"/>
      <c r="D641" s="746"/>
      <c r="E641" s="1139"/>
      <c r="F641" s="1133"/>
      <c r="G641" s="1133"/>
      <c r="H641" s="1141"/>
      <c r="I641" s="1133"/>
      <c r="J641" s="1133"/>
      <c r="K641" s="1133"/>
      <c r="L641" s="1136"/>
    </row>
    <row r="642" spans="1:12" s="1130" customFormat="1" hidden="1">
      <c r="A642" s="746"/>
      <c r="B642" s="746"/>
      <c r="C642" s="746"/>
      <c r="D642" s="746"/>
      <c r="E642" s="1139"/>
      <c r="F642" s="1133"/>
      <c r="G642" s="1133"/>
      <c r="H642" s="1141"/>
      <c r="I642" s="1133"/>
      <c r="J642" s="1133"/>
      <c r="K642" s="1133"/>
      <c r="L642" s="1136"/>
    </row>
    <row r="643" spans="1:12" s="1130" customFormat="1" hidden="1">
      <c r="A643" s="746"/>
      <c r="B643" s="746"/>
      <c r="C643" s="746"/>
      <c r="D643" s="746"/>
      <c r="E643" s="1139"/>
      <c r="F643" s="1133"/>
      <c r="G643" s="1133"/>
      <c r="H643" s="1141"/>
      <c r="I643" s="1133"/>
      <c r="J643" s="1133"/>
      <c r="K643" s="1133"/>
      <c r="L643" s="1136"/>
    </row>
    <row r="644" spans="1:12" s="1130" customFormat="1" hidden="1">
      <c r="A644" s="746"/>
      <c r="B644" s="746"/>
      <c r="C644" s="746"/>
      <c r="D644" s="746"/>
      <c r="E644" s="1139"/>
      <c r="F644" s="1133"/>
      <c r="G644" s="1133"/>
      <c r="H644" s="1141"/>
      <c r="I644" s="1133"/>
      <c r="J644" s="1133"/>
      <c r="K644" s="1133"/>
      <c r="L644" s="1136"/>
    </row>
    <row r="645" spans="1:12" s="1130" customFormat="1" hidden="1">
      <c r="A645" s="746"/>
      <c r="B645" s="746"/>
      <c r="C645" s="746"/>
      <c r="D645" s="746"/>
      <c r="E645" s="1139"/>
      <c r="F645" s="1133"/>
      <c r="G645" s="1133"/>
      <c r="H645" s="1141"/>
      <c r="I645" s="1133"/>
      <c r="J645" s="1133"/>
      <c r="K645" s="1133"/>
      <c r="L645" s="1136"/>
    </row>
    <row r="646" spans="1:12" s="1130" customFormat="1" hidden="1">
      <c r="A646" s="746"/>
      <c r="B646" s="746"/>
      <c r="C646" s="746"/>
      <c r="D646" s="746"/>
      <c r="E646" s="1139"/>
      <c r="F646" s="1133"/>
      <c r="G646" s="1133"/>
      <c r="H646" s="1141"/>
      <c r="I646" s="1133"/>
      <c r="J646" s="1133"/>
      <c r="K646" s="1133"/>
      <c r="L646" s="1136"/>
    </row>
    <row r="647" spans="1:12" s="1130" customFormat="1" hidden="1">
      <c r="A647" s="746"/>
      <c r="B647" s="746"/>
      <c r="C647" s="746"/>
      <c r="D647" s="746"/>
      <c r="E647" s="1139"/>
      <c r="F647" s="1133"/>
      <c r="G647" s="1133"/>
      <c r="H647" s="1141"/>
      <c r="I647" s="1133"/>
      <c r="J647" s="1133"/>
      <c r="K647" s="1133"/>
      <c r="L647" s="1136"/>
    </row>
    <row r="648" spans="1:12" s="1130" customFormat="1" hidden="1">
      <c r="A648" s="746"/>
      <c r="B648" s="746"/>
      <c r="C648" s="746"/>
      <c r="D648" s="746"/>
      <c r="E648" s="1139"/>
      <c r="F648" s="1133"/>
      <c r="G648" s="1133"/>
      <c r="H648" s="1141"/>
      <c r="I648" s="1133"/>
      <c r="J648" s="1133"/>
      <c r="K648" s="1133"/>
      <c r="L648" s="1136"/>
    </row>
    <row r="649" spans="1:12" s="1130" customFormat="1">
      <c r="A649" s="746"/>
      <c r="B649" s="746"/>
      <c r="C649" s="746"/>
      <c r="D649" s="746"/>
      <c r="E649" s="1139"/>
      <c r="F649" s="1139"/>
      <c r="G649" s="1139"/>
      <c r="H649" s="1141"/>
      <c r="I649" s="1139"/>
      <c r="J649" s="1139"/>
      <c r="K649" s="1139"/>
      <c r="L649" s="1136"/>
    </row>
    <row r="650" spans="1:12" s="1130" customFormat="1">
      <c r="A650" s="746"/>
      <c r="B650" s="746"/>
      <c r="C650" s="746"/>
      <c r="D650" s="746"/>
      <c r="E650" s="1143"/>
      <c r="F650" s="1141"/>
      <c r="G650" s="1141"/>
      <c r="H650" s="1141"/>
      <c r="I650" s="1144"/>
      <c r="J650" s="1141"/>
      <c r="K650" s="1141"/>
      <c r="L650" s="1136"/>
    </row>
    <row r="651" spans="1:12" s="1130" customFormat="1">
      <c r="A651" s="746"/>
      <c r="B651" s="746"/>
      <c r="C651" s="746"/>
      <c r="D651" s="746"/>
      <c r="E651" s="1143"/>
      <c r="F651" s="1141"/>
      <c r="G651" s="1141"/>
      <c r="H651" s="1141"/>
      <c r="I651" s="1144"/>
      <c r="J651" s="1141"/>
      <c r="K651" s="1141"/>
      <c r="L651" s="1136"/>
    </row>
    <row r="652" spans="1:12" s="1130" customFormat="1">
      <c r="A652" s="746"/>
      <c r="B652" s="746"/>
      <c r="C652" s="746"/>
      <c r="D652" s="750"/>
      <c r="E652" s="1143"/>
      <c r="F652" s="1141"/>
      <c r="G652" s="1141"/>
      <c r="H652" s="1141"/>
      <c r="I652" s="1144"/>
      <c r="J652" s="1141"/>
      <c r="K652" s="1141"/>
      <c r="L652" s="1136"/>
    </row>
    <row r="653" spans="1:12" s="1130" customFormat="1">
      <c r="A653" s="746"/>
      <c r="B653" s="746"/>
      <c r="C653" s="746"/>
      <c r="D653" s="746"/>
      <c r="E653" s="1143"/>
      <c r="F653" s="1141"/>
      <c r="G653" s="1141"/>
      <c r="H653" s="1141"/>
      <c r="I653" s="1144"/>
      <c r="J653" s="1141"/>
      <c r="K653" s="1141"/>
      <c r="L653" s="1136"/>
    </row>
    <row r="654" spans="1:12" s="1130" customFormat="1">
      <c r="A654" s="746"/>
      <c r="B654" s="746"/>
      <c r="C654" s="1"/>
      <c r="D654" s="1"/>
      <c r="E654" s="1139"/>
      <c r="F654" s="1133"/>
      <c r="G654" s="1133"/>
      <c r="H654" s="1141"/>
      <c r="I654" s="1133"/>
      <c r="J654" s="1133"/>
      <c r="K654" s="1133"/>
      <c r="L654" s="1136"/>
    </row>
    <row r="655" spans="1:12" s="1130" customFormat="1">
      <c r="A655" s="746"/>
      <c r="B655" s="746"/>
      <c r="C655" s="746"/>
      <c r="D655" s="746"/>
      <c r="E655" s="1143"/>
      <c r="F655" s="1141"/>
      <c r="G655" s="1141"/>
      <c r="H655" s="1141"/>
      <c r="I655" s="1141"/>
      <c r="J655" s="1141"/>
      <c r="K655" s="1141"/>
      <c r="L655" s="1136"/>
    </row>
    <row r="656" spans="1:12" s="1130" customFormat="1">
      <c r="A656" s="746"/>
      <c r="B656" s="746"/>
      <c r="C656" s="746"/>
      <c r="D656" s="746"/>
      <c r="E656" s="1143"/>
      <c r="F656" s="1141"/>
      <c r="G656" s="1141"/>
      <c r="H656" s="1141"/>
      <c r="I656" s="1141"/>
      <c r="J656" s="1141"/>
      <c r="K656" s="1141"/>
      <c r="L656" s="1136"/>
    </row>
    <row r="657" spans="1:12" s="1130" customFormat="1">
      <c r="A657" s="746"/>
      <c r="B657" s="746"/>
      <c r="C657" s="1"/>
      <c r="D657" s="1"/>
      <c r="E657" s="1139"/>
      <c r="F657" s="1133"/>
      <c r="G657" s="1133"/>
      <c r="H657" s="1141"/>
      <c r="I657" s="1133"/>
      <c r="J657" s="1133"/>
      <c r="K657" s="1133"/>
      <c r="L657" s="1136"/>
    </row>
    <row r="658" spans="1:12" s="1130" customFormat="1">
      <c r="A658" s="746"/>
      <c r="B658" s="746"/>
      <c r="C658" s="746"/>
      <c r="D658" s="746"/>
      <c r="E658" s="1143"/>
      <c r="F658" s="1141"/>
      <c r="G658" s="1141"/>
      <c r="H658" s="1141"/>
      <c r="I658" s="1141"/>
      <c r="J658" s="1141"/>
      <c r="K658" s="1141"/>
      <c r="L658" s="1136"/>
    </row>
    <row r="659" spans="1:12" s="1130" customFormat="1">
      <c r="A659" s="746"/>
      <c r="B659" s="746"/>
      <c r="C659" s="746"/>
      <c r="D659" s="746"/>
      <c r="E659" s="1143"/>
      <c r="F659" s="1141"/>
      <c r="G659" s="1141"/>
      <c r="H659" s="1141"/>
      <c r="I659" s="1141"/>
      <c r="J659" s="1141"/>
      <c r="K659" s="1141"/>
      <c r="L659" s="1136"/>
    </row>
    <row r="660" spans="1:12" s="1130" customFormat="1">
      <c r="A660" s="746"/>
      <c r="B660" s="746"/>
      <c r="C660" s="1"/>
      <c r="D660" s="1"/>
      <c r="E660" s="1139"/>
      <c r="F660" s="1133"/>
      <c r="G660" s="1133"/>
      <c r="H660" s="1141"/>
      <c r="I660" s="1133"/>
      <c r="J660" s="1133"/>
      <c r="K660" s="1133"/>
      <c r="L660" s="1136"/>
    </row>
    <row r="661" spans="1:12" s="1130" customFormat="1">
      <c r="A661" s="746"/>
      <c r="B661" s="746"/>
      <c r="C661" s="746"/>
      <c r="D661" s="746"/>
      <c r="E661" s="1143"/>
      <c r="F661" s="1141"/>
      <c r="G661" s="1141"/>
      <c r="H661" s="1141"/>
      <c r="I661" s="1141"/>
      <c r="J661" s="1141"/>
      <c r="K661" s="1141"/>
      <c r="L661" s="1136"/>
    </row>
    <row r="662" spans="1:12" s="1130" customFormat="1">
      <c r="A662" s="746"/>
      <c r="B662" s="746"/>
      <c r="C662" s="746"/>
      <c r="D662" s="746"/>
      <c r="E662" s="1143"/>
      <c r="F662" s="1141"/>
      <c r="G662" s="1141"/>
      <c r="H662" s="1141"/>
      <c r="I662" s="1144"/>
      <c r="J662" s="1141"/>
      <c r="K662" s="1141"/>
      <c r="L662" s="1136"/>
    </row>
    <row r="663" spans="1:12" s="1130" customFormat="1">
      <c r="A663" s="746"/>
      <c r="B663" s="746"/>
      <c r="C663" s="746"/>
      <c r="D663" s="746"/>
      <c r="E663" s="1143"/>
      <c r="F663" s="1141"/>
      <c r="G663" s="1141"/>
      <c r="H663" s="1141"/>
      <c r="I663" s="1144"/>
      <c r="J663" s="1141"/>
      <c r="K663" s="1141"/>
      <c r="L663" s="1136"/>
    </row>
    <row r="664" spans="1:12" s="1130" customFormat="1">
      <c r="A664" s="746"/>
      <c r="B664" s="746"/>
      <c r="C664" s="746"/>
      <c r="D664" s="746"/>
      <c r="E664" s="1143"/>
      <c r="F664" s="1141"/>
      <c r="G664" s="1141"/>
      <c r="H664" s="1141"/>
      <c r="I664" s="1144"/>
      <c r="J664" s="1141"/>
      <c r="K664" s="1141"/>
      <c r="L664" s="1136"/>
    </row>
    <row r="665" spans="1:12" s="1130" customFormat="1">
      <c r="A665" s="746"/>
      <c r="B665" s="746"/>
      <c r="C665" s="746"/>
      <c r="D665" s="746"/>
      <c r="E665" s="1143"/>
      <c r="F665" s="1141"/>
      <c r="G665" s="1141"/>
      <c r="H665" s="1141"/>
      <c r="I665" s="1144"/>
      <c r="J665" s="1141"/>
      <c r="K665" s="1141"/>
      <c r="L665" s="1136"/>
    </row>
    <row r="666" spans="1:12" s="1130" customFormat="1">
      <c r="A666" s="746"/>
      <c r="B666" s="746"/>
      <c r="C666" s="746"/>
      <c r="D666" s="746"/>
      <c r="E666" s="1143"/>
      <c r="F666" s="1141"/>
      <c r="G666" s="1141"/>
      <c r="H666" s="1141"/>
      <c r="I666" s="1144"/>
      <c r="J666" s="1141"/>
      <c r="K666" s="1141"/>
      <c r="L666" s="1136"/>
    </row>
    <row r="667" spans="1:12" s="1130" customFormat="1">
      <c r="A667" s="746"/>
      <c r="B667" s="746"/>
      <c r="C667" s="1145"/>
      <c r="D667" s="1145"/>
      <c r="E667" s="1146"/>
      <c r="F667" s="1147"/>
      <c r="G667" s="1141"/>
      <c r="H667" s="1141"/>
      <c r="I667" s="1144"/>
      <c r="J667" s="1141"/>
      <c r="K667" s="1141"/>
      <c r="L667" s="1136"/>
    </row>
    <row r="668" spans="1:12" s="1130" customFormat="1">
      <c r="A668" s="746"/>
      <c r="B668" s="746"/>
      <c r="C668" s="746"/>
      <c r="D668" s="746"/>
      <c r="E668" s="1143"/>
      <c r="F668" s="1141"/>
      <c r="G668" s="1141"/>
      <c r="H668" s="1141"/>
      <c r="I668" s="1144"/>
      <c r="J668" s="1141"/>
      <c r="K668" s="1141"/>
      <c r="L668" s="1136"/>
    </row>
    <row r="669" spans="1:12" s="1130" customFormat="1">
      <c r="A669" s="746"/>
      <c r="B669" s="746"/>
      <c r="C669" s="746"/>
      <c r="D669" s="746"/>
      <c r="E669" s="1143"/>
      <c r="F669" s="1141"/>
      <c r="G669" s="1141"/>
      <c r="H669" s="1141"/>
      <c r="I669" s="1144"/>
      <c r="J669" s="1141"/>
      <c r="K669" s="1141"/>
      <c r="L669" s="1136"/>
    </row>
    <row r="670" spans="1:12" s="1130" customFormat="1">
      <c r="A670" s="746"/>
      <c r="B670" s="746"/>
      <c r="C670" s="746"/>
      <c r="D670" s="746"/>
      <c r="E670" s="1143"/>
      <c r="F670" s="1141"/>
      <c r="G670" s="1141"/>
      <c r="H670" s="1141"/>
      <c r="I670" s="1144"/>
      <c r="J670" s="1141"/>
      <c r="K670" s="1141"/>
      <c r="L670" s="1136"/>
    </row>
    <row r="671" spans="1:12" s="1130" customFormat="1">
      <c r="A671" s="746"/>
      <c r="B671" s="746"/>
      <c r="C671" s="746"/>
      <c r="D671" s="746"/>
      <c r="E671" s="1143"/>
      <c r="F671" s="1141"/>
      <c r="G671" s="1141"/>
      <c r="H671" s="1141"/>
      <c r="I671" s="1144"/>
      <c r="J671" s="1141"/>
      <c r="K671" s="1141"/>
      <c r="L671" s="1136"/>
    </row>
    <row r="672" spans="1:12" s="1130" customFormat="1">
      <c r="A672" s="746"/>
      <c r="B672" s="746"/>
      <c r="C672" s="746"/>
      <c r="D672" s="746"/>
      <c r="E672" s="1143"/>
      <c r="F672" s="1141"/>
      <c r="G672" s="1141"/>
      <c r="H672" s="1141"/>
      <c r="I672" s="1144"/>
      <c r="J672" s="1141"/>
      <c r="K672" s="1141"/>
      <c r="L672" s="1136"/>
    </row>
    <row r="673" spans="1:12" s="1130" customFormat="1">
      <c r="A673" s="746"/>
      <c r="B673" s="746"/>
      <c r="C673" s="746"/>
      <c r="D673" s="746"/>
      <c r="E673" s="1143"/>
      <c r="F673" s="1141"/>
      <c r="G673" s="1141"/>
      <c r="H673" s="1141"/>
      <c r="I673" s="1144"/>
      <c r="J673" s="1141"/>
      <c r="K673" s="1141"/>
      <c r="L673" s="1136"/>
    </row>
    <row r="674" spans="1:12" s="1130" customFormat="1">
      <c r="A674" s="746"/>
      <c r="B674" s="746"/>
      <c r="C674" s="746"/>
      <c r="D674" s="746"/>
      <c r="E674" s="1143"/>
      <c r="F674" s="1141"/>
      <c r="G674" s="1141"/>
      <c r="H674" s="1141"/>
      <c r="I674" s="1144"/>
      <c r="J674" s="1141"/>
      <c r="K674" s="1141"/>
      <c r="L674" s="1136"/>
    </row>
    <row r="675" spans="1:12" s="1130" customFormat="1">
      <c r="A675" s="746"/>
      <c r="B675" s="746"/>
      <c r="C675" s="746"/>
      <c r="D675" s="746"/>
      <c r="E675" s="1143"/>
      <c r="F675" s="1141"/>
      <c r="G675" s="1141"/>
      <c r="H675" s="1141"/>
      <c r="I675" s="1144"/>
      <c r="J675" s="1141"/>
      <c r="K675" s="1141"/>
      <c r="L675" s="1136"/>
    </row>
    <row r="676" spans="1:12" s="1130" customFormat="1">
      <c r="A676" s="746"/>
      <c r="B676" s="746"/>
      <c r="C676" s="746"/>
      <c r="D676" s="746"/>
      <c r="E676" s="1143"/>
      <c r="F676" s="1141"/>
      <c r="G676" s="1141"/>
      <c r="H676" s="1141"/>
      <c r="I676" s="1144"/>
      <c r="J676" s="1141"/>
      <c r="K676" s="1141"/>
      <c r="L676" s="1136"/>
    </row>
    <row r="677" spans="1:12" s="1130" customFormat="1">
      <c r="A677" s="746"/>
      <c r="B677" s="746"/>
      <c r="C677" s="1145"/>
      <c r="D677" s="1145"/>
      <c r="E677" s="1146"/>
      <c r="F677" s="1147"/>
      <c r="G677" s="1141"/>
      <c r="H677" s="1141"/>
      <c r="I677" s="1144"/>
      <c r="J677" s="1141"/>
      <c r="K677" s="1141"/>
      <c r="L677" s="1136"/>
    </row>
    <row r="678" spans="1:12" s="1130" customFormat="1">
      <c r="A678" s="746"/>
      <c r="B678" s="746"/>
      <c r="C678" s="746"/>
      <c r="D678" s="746"/>
      <c r="E678" s="1143"/>
      <c r="F678" s="1141"/>
      <c r="G678" s="1141"/>
      <c r="H678" s="1141"/>
      <c r="I678" s="1144"/>
      <c r="J678" s="1141"/>
      <c r="K678" s="1141"/>
      <c r="L678" s="1136"/>
    </row>
    <row r="679" spans="1:12" s="1130" customFormat="1">
      <c r="A679" s="746"/>
      <c r="B679" s="746"/>
      <c r="C679" s="746"/>
      <c r="D679" s="746"/>
      <c r="E679" s="1143"/>
      <c r="F679" s="1141"/>
      <c r="G679" s="1141"/>
      <c r="H679" s="1141"/>
      <c r="I679" s="1144"/>
      <c r="J679" s="1141"/>
      <c r="K679" s="1141"/>
      <c r="L679" s="1136"/>
    </row>
    <row r="680" spans="1:12" s="1130" customFormat="1">
      <c r="A680" s="746"/>
      <c r="B680" s="746"/>
      <c r="C680" s="746"/>
      <c r="D680" s="746"/>
      <c r="E680" s="1143"/>
      <c r="F680" s="1141"/>
      <c r="G680" s="1141"/>
      <c r="H680" s="1141"/>
      <c r="I680" s="1144"/>
      <c r="J680" s="1141"/>
      <c r="K680" s="1141"/>
      <c r="L680" s="1136"/>
    </row>
    <row r="681" spans="1:12" s="1130" customFormat="1">
      <c r="A681" s="746"/>
      <c r="B681" s="746"/>
      <c r="C681" s="746"/>
      <c r="D681" s="746"/>
      <c r="E681" s="1143"/>
      <c r="F681" s="1141"/>
      <c r="G681" s="1141"/>
      <c r="H681" s="1141"/>
      <c r="I681" s="1144"/>
      <c r="J681" s="1141"/>
      <c r="K681" s="1141"/>
      <c r="L681" s="1136"/>
    </row>
    <row r="682" spans="1:12" s="1130" customFormat="1">
      <c r="A682" s="746"/>
      <c r="B682" s="746"/>
      <c r="C682" s="746"/>
      <c r="D682" s="746"/>
      <c r="E682" s="1143"/>
      <c r="F682" s="1141"/>
      <c r="G682" s="1141"/>
      <c r="H682" s="1141"/>
      <c r="I682" s="1144"/>
      <c r="J682" s="1141"/>
      <c r="K682" s="1141"/>
      <c r="L682" s="1136"/>
    </row>
    <row r="683" spans="1:12" s="1130" customFormat="1">
      <c r="A683" s="746"/>
      <c r="B683" s="746"/>
      <c r="C683" s="746"/>
      <c r="D683" s="746"/>
      <c r="E683" s="1143"/>
      <c r="F683" s="1141"/>
      <c r="G683" s="1141"/>
      <c r="H683" s="1141"/>
      <c r="I683" s="1144"/>
      <c r="J683" s="1141"/>
      <c r="K683" s="1141"/>
      <c r="L683" s="1136"/>
    </row>
    <row r="684" spans="1:12" s="1130" customFormat="1">
      <c r="A684" s="746"/>
      <c r="B684" s="746"/>
      <c r="C684" s="746"/>
      <c r="D684" s="746"/>
      <c r="E684" s="1143"/>
      <c r="F684" s="1141"/>
      <c r="G684" s="1141"/>
      <c r="H684" s="1141"/>
      <c r="I684" s="1144"/>
      <c r="J684" s="1141"/>
      <c r="K684" s="1141"/>
      <c r="L684" s="1136"/>
    </row>
    <row r="685" spans="1:12" s="1130" customFormat="1">
      <c r="A685" s="746"/>
      <c r="B685" s="746"/>
      <c r="C685" s="746"/>
      <c r="D685" s="746"/>
      <c r="E685" s="1143"/>
      <c r="F685" s="1141"/>
      <c r="G685" s="1141"/>
      <c r="H685" s="1141"/>
      <c r="I685" s="1144"/>
      <c r="J685" s="1141"/>
      <c r="K685" s="1141"/>
      <c r="L685" s="1136"/>
    </row>
    <row r="686" spans="1:12" s="1130" customFormat="1">
      <c r="A686" s="746"/>
      <c r="B686" s="746"/>
      <c r="C686" s="746"/>
      <c r="D686" s="746"/>
      <c r="E686" s="1143"/>
      <c r="F686" s="1141"/>
      <c r="G686" s="1141"/>
      <c r="H686" s="1141"/>
      <c r="I686" s="1144"/>
      <c r="J686" s="1141"/>
      <c r="K686" s="1141"/>
      <c r="L686" s="1136"/>
    </row>
    <row r="687" spans="1:12" s="1130" customFormat="1">
      <c r="A687" s="746"/>
      <c r="B687" s="746"/>
      <c r="C687" s="746"/>
      <c r="D687" s="746"/>
      <c r="E687" s="1143"/>
      <c r="F687" s="1141"/>
      <c r="G687" s="1141"/>
      <c r="H687" s="1141"/>
      <c r="I687" s="1144"/>
      <c r="J687" s="1141"/>
      <c r="K687" s="1141"/>
      <c r="L687" s="1136"/>
    </row>
    <row r="688" spans="1:12" s="1130" customFormat="1">
      <c r="A688" s="746"/>
      <c r="B688" s="746"/>
      <c r="C688" s="746"/>
      <c r="D688" s="746"/>
      <c r="E688" s="1143"/>
      <c r="F688" s="1141"/>
      <c r="G688" s="1141"/>
      <c r="H688" s="1141"/>
      <c r="I688" s="1144"/>
      <c r="J688" s="1141"/>
      <c r="K688" s="1141"/>
      <c r="L688" s="1136"/>
    </row>
    <row r="689" spans="1:12" s="1130" customFormat="1">
      <c r="A689" s="746"/>
      <c r="B689" s="746"/>
      <c r="C689" s="746"/>
      <c r="D689" s="746"/>
      <c r="E689" s="1143"/>
      <c r="F689" s="1141"/>
      <c r="G689" s="1141"/>
      <c r="H689" s="1141"/>
      <c r="I689" s="1144"/>
      <c r="J689" s="1141"/>
      <c r="K689" s="1141"/>
      <c r="L689" s="1136"/>
    </row>
    <row r="690" spans="1:12" s="1130" customFormat="1">
      <c r="A690" s="746"/>
      <c r="B690" s="746"/>
      <c r="C690" s="746"/>
      <c r="D690" s="746"/>
      <c r="E690" s="1143"/>
      <c r="F690" s="1141"/>
      <c r="G690" s="1141"/>
      <c r="H690" s="1141"/>
      <c r="I690" s="1144"/>
      <c r="J690" s="1141"/>
      <c r="K690" s="1141"/>
      <c r="L690" s="1136"/>
    </row>
    <row r="691" spans="1:12" s="1130" customFormat="1">
      <c r="A691" s="746"/>
      <c r="B691" s="746"/>
      <c r="C691" s="746"/>
      <c r="D691" s="746"/>
      <c r="E691" s="1143"/>
      <c r="F691" s="1141"/>
      <c r="G691" s="1141"/>
      <c r="H691" s="1141"/>
      <c r="I691" s="1144"/>
      <c r="J691" s="1141"/>
      <c r="K691" s="1141"/>
      <c r="L691" s="1136"/>
    </row>
    <row r="692" spans="1:12" s="1130" customFormat="1">
      <c r="A692" s="746"/>
      <c r="B692" s="746"/>
      <c r="C692" s="746"/>
      <c r="D692" s="746"/>
      <c r="E692" s="1143"/>
      <c r="F692" s="1141"/>
      <c r="G692" s="1141"/>
      <c r="H692" s="1141"/>
      <c r="I692" s="1144"/>
      <c r="J692" s="1141"/>
      <c r="K692" s="1141"/>
      <c r="L692" s="1136"/>
    </row>
    <row r="693" spans="1:12" s="1130" customFormat="1">
      <c r="A693" s="746"/>
      <c r="B693" s="746"/>
      <c r="C693" s="746"/>
      <c r="D693" s="746"/>
      <c r="E693" s="1143"/>
      <c r="F693" s="1141"/>
      <c r="G693" s="1141"/>
      <c r="H693" s="1141"/>
      <c r="I693" s="1144"/>
      <c r="J693" s="1141"/>
      <c r="K693" s="1141"/>
      <c r="L693" s="1136"/>
    </row>
    <row r="694" spans="1:12" s="1130" customFormat="1">
      <c r="A694" s="746"/>
      <c r="B694" s="746"/>
      <c r="C694" s="746"/>
      <c r="D694" s="746"/>
      <c r="E694" s="1143"/>
      <c r="F694" s="1141"/>
      <c r="G694" s="1141"/>
      <c r="H694" s="1141"/>
      <c r="I694" s="1144"/>
      <c r="J694" s="1141"/>
      <c r="K694" s="1141"/>
      <c r="L694" s="1136"/>
    </row>
    <row r="695" spans="1:12" s="1130" customFormat="1">
      <c r="A695" s="746"/>
      <c r="B695" s="746"/>
      <c r="C695" s="746"/>
      <c r="D695" s="746"/>
      <c r="E695" s="1143"/>
      <c r="F695" s="1141"/>
      <c r="G695" s="1141"/>
      <c r="H695" s="1141"/>
      <c r="I695" s="1144"/>
      <c r="J695" s="1141"/>
      <c r="K695" s="1141"/>
      <c r="L695" s="1136"/>
    </row>
    <row r="696" spans="1:12" s="1130" customFormat="1">
      <c r="A696" s="746"/>
      <c r="B696" s="746"/>
      <c r="C696" s="746"/>
      <c r="D696" s="746"/>
      <c r="E696" s="1143"/>
      <c r="F696" s="1141"/>
      <c r="G696" s="1141"/>
      <c r="H696" s="1141"/>
      <c r="I696" s="1144"/>
      <c r="J696" s="1141"/>
      <c r="K696" s="1141"/>
      <c r="L696" s="1136"/>
    </row>
    <row r="697" spans="1:12" s="1130" customFormat="1">
      <c r="A697" s="746"/>
      <c r="B697" s="746"/>
      <c r="C697" s="746"/>
      <c r="D697" s="746"/>
      <c r="E697" s="1143"/>
      <c r="F697" s="1141"/>
      <c r="G697" s="1141"/>
      <c r="H697" s="1141"/>
      <c r="I697" s="1144"/>
      <c r="J697" s="1141"/>
      <c r="K697" s="1141"/>
      <c r="L697" s="1136"/>
    </row>
    <row r="698" spans="1:12" s="1130" customFormat="1">
      <c r="A698" s="746"/>
      <c r="B698" s="746"/>
      <c r="C698" s="746"/>
      <c r="D698" s="746"/>
      <c r="E698" s="1143"/>
      <c r="F698" s="1141"/>
      <c r="G698" s="1141"/>
      <c r="H698" s="1141"/>
      <c r="I698" s="1144"/>
      <c r="J698" s="1141"/>
      <c r="K698" s="1141"/>
      <c r="L698" s="1136"/>
    </row>
    <row r="699" spans="1:12" s="1130" customFormat="1">
      <c r="A699" s="746"/>
      <c r="B699" s="746"/>
      <c r="C699" s="746"/>
      <c r="D699" s="746"/>
      <c r="E699" s="1143"/>
      <c r="F699" s="1141"/>
      <c r="G699" s="1141"/>
      <c r="H699" s="1141"/>
      <c r="I699" s="1144"/>
      <c r="J699" s="1141"/>
      <c r="K699" s="1141"/>
      <c r="L699" s="1136"/>
    </row>
    <row r="700" spans="1:12" s="1130" customFormat="1">
      <c r="A700" s="746"/>
      <c r="B700" s="746"/>
      <c r="C700" s="746"/>
      <c r="D700" s="746"/>
      <c r="E700" s="1143"/>
      <c r="F700" s="1141"/>
      <c r="G700" s="1141"/>
      <c r="H700" s="1141"/>
      <c r="I700" s="1144"/>
      <c r="J700" s="1141"/>
      <c r="K700" s="1141"/>
      <c r="L700" s="1136"/>
    </row>
    <row r="701" spans="1:12" s="1130" customFormat="1">
      <c r="A701" s="746"/>
      <c r="B701" s="746"/>
      <c r="C701" s="746"/>
      <c r="D701" s="746"/>
      <c r="E701" s="1143"/>
      <c r="F701" s="1141"/>
      <c r="G701" s="1141"/>
      <c r="H701" s="1141"/>
      <c r="I701" s="1144"/>
      <c r="J701" s="1141"/>
      <c r="K701" s="1141"/>
      <c r="L701" s="1136"/>
    </row>
    <row r="702" spans="1:12" s="1130" customFormat="1">
      <c r="A702" s="746"/>
      <c r="B702" s="746"/>
      <c r="C702" s="746"/>
      <c r="D702" s="746"/>
      <c r="E702" s="1143"/>
      <c r="F702" s="1141"/>
      <c r="G702" s="1141"/>
      <c r="H702" s="1141"/>
      <c r="I702" s="1144"/>
      <c r="J702" s="1141"/>
      <c r="K702" s="1141"/>
      <c r="L702" s="1136"/>
    </row>
    <row r="703" spans="1:12" s="1130" customFormat="1">
      <c r="A703" s="746"/>
      <c r="B703" s="746"/>
      <c r="C703" s="746"/>
      <c r="D703" s="746"/>
      <c r="E703" s="1143"/>
      <c r="F703" s="1141"/>
      <c r="G703" s="1141"/>
      <c r="H703" s="1141"/>
      <c r="I703" s="1144"/>
      <c r="J703" s="1141"/>
      <c r="K703" s="1141"/>
      <c r="L703" s="1136"/>
    </row>
    <row r="704" spans="1:12" s="1130" customFormat="1">
      <c r="A704" s="746"/>
      <c r="B704" s="746"/>
      <c r="C704" s="746"/>
      <c r="D704" s="746"/>
      <c r="E704" s="1143"/>
      <c r="F704" s="1141"/>
      <c r="G704" s="1141"/>
      <c r="H704" s="1141"/>
      <c r="I704" s="1144"/>
      <c r="J704" s="1141"/>
      <c r="K704" s="1141"/>
      <c r="L704" s="1136"/>
    </row>
    <row r="705" spans="1:12" s="1130" customFormat="1">
      <c r="A705" s="746"/>
      <c r="B705" s="746"/>
      <c r="C705" s="746"/>
      <c r="D705" s="746"/>
      <c r="E705" s="1143"/>
      <c r="F705" s="1141"/>
      <c r="G705" s="1141"/>
      <c r="H705" s="1141"/>
      <c r="I705" s="1144"/>
      <c r="J705" s="1141"/>
      <c r="K705" s="1141"/>
      <c r="L705" s="1136"/>
    </row>
    <row r="706" spans="1:12" s="1130" customFormat="1">
      <c r="A706" s="746"/>
      <c r="B706" s="746"/>
      <c r="C706" s="746"/>
      <c r="D706" s="746"/>
      <c r="E706" s="1143"/>
      <c r="F706" s="1141"/>
      <c r="G706" s="1141"/>
      <c r="H706" s="1141"/>
      <c r="I706" s="1144"/>
      <c r="J706" s="1141"/>
      <c r="K706" s="1141"/>
      <c r="L706" s="1136"/>
    </row>
    <row r="707" spans="1:12" s="1130" customFormat="1">
      <c r="A707" s="746"/>
      <c r="B707" s="746"/>
      <c r="C707" s="746"/>
      <c r="D707" s="746"/>
      <c r="E707" s="1143"/>
      <c r="F707" s="1141"/>
      <c r="G707" s="1141"/>
      <c r="H707" s="1141"/>
      <c r="I707" s="1144"/>
      <c r="J707" s="1141"/>
      <c r="K707" s="1141"/>
      <c r="L707" s="1136"/>
    </row>
    <row r="708" spans="1:12" s="1130" customFormat="1">
      <c r="A708" s="746"/>
      <c r="B708" s="746"/>
      <c r="C708" s="746"/>
      <c r="D708" s="746"/>
      <c r="E708" s="1143"/>
      <c r="F708" s="1141"/>
      <c r="G708" s="1141"/>
      <c r="H708" s="1141"/>
      <c r="I708" s="1144"/>
      <c r="J708" s="1141"/>
      <c r="K708" s="1141"/>
      <c r="L708" s="1136"/>
    </row>
    <row r="709" spans="1:12" s="1130" customFormat="1">
      <c r="A709" s="746"/>
      <c r="B709" s="746"/>
      <c r="C709" s="746"/>
      <c r="D709" s="746"/>
      <c r="E709" s="1143"/>
      <c r="F709" s="1141"/>
      <c r="G709" s="1141"/>
      <c r="H709" s="1141"/>
      <c r="I709" s="1144"/>
      <c r="J709" s="1141"/>
      <c r="K709" s="1141"/>
      <c r="L709" s="1136"/>
    </row>
    <row r="710" spans="1:12" s="1130" customFormat="1">
      <c r="A710" s="746"/>
      <c r="B710" s="746"/>
      <c r="C710" s="746"/>
      <c r="D710" s="746"/>
      <c r="E710" s="1143"/>
      <c r="F710" s="1141"/>
      <c r="G710" s="1141"/>
      <c r="H710" s="1141"/>
      <c r="I710" s="1144"/>
      <c r="J710" s="1141"/>
      <c r="K710" s="1141"/>
      <c r="L710" s="1136"/>
    </row>
    <row r="711" spans="1:12" s="1130" customFormat="1">
      <c r="A711" s="746"/>
      <c r="B711" s="746"/>
      <c r="C711" s="746"/>
      <c r="D711" s="746"/>
      <c r="E711" s="1143"/>
      <c r="F711" s="1141"/>
      <c r="G711" s="1141"/>
      <c r="H711" s="1141"/>
      <c r="I711" s="1144"/>
      <c r="J711" s="1141"/>
      <c r="K711" s="1141"/>
      <c r="L711" s="1136"/>
    </row>
    <row r="712" spans="1:12" s="1130" customFormat="1">
      <c r="A712" s="746"/>
      <c r="B712" s="746"/>
      <c r="C712" s="746"/>
      <c r="D712" s="746"/>
      <c r="E712" s="1143"/>
      <c r="F712" s="1141"/>
      <c r="G712" s="1141"/>
      <c r="H712" s="1141"/>
      <c r="I712" s="1144"/>
      <c r="J712" s="1141"/>
      <c r="K712" s="1141"/>
      <c r="L712" s="1136"/>
    </row>
    <row r="713" spans="1:12" s="1130" customFormat="1">
      <c r="A713" s="746"/>
      <c r="B713" s="746"/>
      <c r="C713" s="746"/>
      <c r="D713" s="746"/>
      <c r="E713" s="1143"/>
      <c r="F713" s="1141"/>
      <c r="G713" s="1141"/>
      <c r="H713" s="1141"/>
      <c r="I713" s="1144"/>
      <c r="J713" s="1141"/>
      <c r="K713" s="1141"/>
      <c r="L713" s="1136"/>
    </row>
    <row r="714" spans="1:12" s="1130" customFormat="1">
      <c r="A714" s="746"/>
      <c r="B714" s="746"/>
      <c r="C714" s="746"/>
      <c r="D714" s="746"/>
      <c r="E714" s="1143"/>
      <c r="F714" s="1141"/>
      <c r="G714" s="1141"/>
      <c r="H714" s="1141"/>
      <c r="I714" s="1144"/>
      <c r="J714" s="1141"/>
      <c r="K714" s="1141"/>
      <c r="L714" s="1136"/>
    </row>
    <row r="715" spans="1:12" s="1130" customFormat="1">
      <c r="A715" s="746"/>
      <c r="B715" s="746"/>
      <c r="C715" s="746"/>
      <c r="D715" s="746"/>
      <c r="E715" s="1143"/>
      <c r="F715" s="1141"/>
      <c r="G715" s="1141"/>
      <c r="H715" s="1141"/>
      <c r="I715" s="1144"/>
      <c r="J715" s="1141"/>
      <c r="K715" s="1141"/>
      <c r="L715" s="1136"/>
    </row>
    <row r="716" spans="1:12" s="1130" customFormat="1">
      <c r="A716" s="746"/>
      <c r="B716" s="746"/>
      <c r="C716" s="746"/>
      <c r="D716" s="746"/>
      <c r="E716" s="1143"/>
      <c r="F716" s="1141"/>
      <c r="G716" s="1141"/>
      <c r="H716" s="1141"/>
      <c r="I716" s="1144"/>
      <c r="J716" s="1141"/>
      <c r="K716" s="1141"/>
      <c r="L716" s="1136"/>
    </row>
    <row r="717" spans="1:12" s="1130" customFormat="1">
      <c r="A717" s="746"/>
      <c r="B717" s="746"/>
      <c r="C717" s="746"/>
      <c r="D717" s="746"/>
      <c r="E717" s="1143"/>
      <c r="F717" s="1141"/>
      <c r="G717" s="1141"/>
      <c r="H717" s="1141"/>
      <c r="I717" s="1144"/>
      <c r="J717" s="1141"/>
      <c r="K717" s="1141"/>
      <c r="L717" s="1136"/>
    </row>
    <row r="718" spans="1:12" s="1130" customFormat="1">
      <c r="A718" s="746"/>
      <c r="B718" s="746"/>
      <c r="C718" s="746"/>
      <c r="D718" s="746"/>
      <c r="E718" s="1143"/>
      <c r="F718" s="1141"/>
      <c r="G718" s="1141"/>
      <c r="H718" s="1141"/>
      <c r="I718" s="1144"/>
      <c r="J718" s="1141"/>
      <c r="K718" s="1141"/>
      <c r="L718" s="1136"/>
    </row>
    <row r="719" spans="1:12" s="1130" customFormat="1">
      <c r="A719" s="746"/>
      <c r="B719" s="746"/>
      <c r="C719" s="746"/>
      <c r="D719" s="746"/>
      <c r="E719" s="1143"/>
      <c r="F719" s="1141"/>
      <c r="G719" s="1141"/>
      <c r="H719" s="1141"/>
      <c r="I719" s="1144"/>
      <c r="J719" s="1141"/>
      <c r="K719" s="1141"/>
      <c r="L719" s="1136"/>
    </row>
    <row r="720" spans="1:12" s="1130" customFormat="1">
      <c r="A720" s="746"/>
      <c r="B720" s="746"/>
      <c r="C720" s="746"/>
      <c r="D720" s="746"/>
      <c r="E720" s="1143"/>
      <c r="F720" s="1141"/>
      <c r="G720" s="1141"/>
      <c r="H720" s="1141"/>
      <c r="I720" s="1144"/>
      <c r="J720" s="1141"/>
      <c r="K720" s="1141"/>
      <c r="L720" s="1136"/>
    </row>
    <row r="721" spans="1:12" s="1130" customFormat="1">
      <c r="A721" s="746"/>
      <c r="B721" s="746"/>
      <c r="C721" s="746"/>
      <c r="D721" s="746"/>
      <c r="E721" s="1143"/>
      <c r="F721" s="1141"/>
      <c r="G721" s="1141"/>
      <c r="H721" s="1141"/>
      <c r="I721" s="1144"/>
      <c r="J721" s="1141"/>
      <c r="K721" s="1141"/>
      <c r="L721" s="1136"/>
    </row>
    <row r="722" spans="1:12" s="1130" customFormat="1">
      <c r="A722" s="746"/>
      <c r="B722" s="746"/>
      <c r="C722" s="746"/>
      <c r="D722" s="746"/>
      <c r="E722" s="1143"/>
      <c r="F722" s="1141"/>
      <c r="G722" s="1141"/>
      <c r="H722" s="1141"/>
      <c r="I722" s="1144"/>
      <c r="J722" s="1141"/>
      <c r="K722" s="1141"/>
      <c r="L722" s="1136"/>
    </row>
    <row r="723" spans="1:12" s="1130" customFormat="1">
      <c r="A723" s="746"/>
      <c r="B723" s="746"/>
      <c r="C723" s="746"/>
      <c r="D723" s="746"/>
      <c r="E723" s="1143"/>
      <c r="F723" s="1141"/>
      <c r="G723" s="1141"/>
      <c r="H723" s="1141"/>
      <c r="I723" s="1144"/>
      <c r="J723" s="1141"/>
      <c r="K723" s="1141"/>
      <c r="L723" s="1136"/>
    </row>
    <row r="724" spans="1:12" s="1130" customFormat="1">
      <c r="A724" s="746"/>
      <c r="B724" s="746"/>
      <c r="C724" s="746"/>
      <c r="D724" s="746"/>
      <c r="E724" s="1143"/>
      <c r="F724" s="1141"/>
      <c r="G724" s="1141"/>
      <c r="H724" s="1141"/>
      <c r="I724" s="1144"/>
      <c r="J724" s="1141"/>
      <c r="K724" s="1141"/>
      <c r="L724" s="1136"/>
    </row>
    <row r="725" spans="1:12" s="1130" customFormat="1">
      <c r="A725" s="746"/>
      <c r="B725" s="746"/>
      <c r="C725" s="746"/>
      <c r="D725" s="746"/>
      <c r="E725" s="1143"/>
      <c r="F725" s="1141"/>
      <c r="G725" s="1141"/>
      <c r="H725" s="1141"/>
      <c r="I725" s="1144"/>
      <c r="J725" s="1141"/>
      <c r="K725" s="1141"/>
      <c r="L725" s="1136"/>
    </row>
    <row r="726" spans="1:12" s="1130" customFormat="1">
      <c r="A726" s="746"/>
      <c r="B726" s="746"/>
      <c r="C726" s="746"/>
      <c r="D726" s="746"/>
      <c r="E726" s="1143"/>
      <c r="F726" s="1141"/>
      <c r="G726" s="1141"/>
      <c r="H726" s="1141"/>
      <c r="I726" s="1144"/>
      <c r="J726" s="1141"/>
      <c r="K726" s="1141"/>
      <c r="L726" s="1136"/>
    </row>
    <row r="727" spans="1:12" s="1130" customFormat="1">
      <c r="A727" s="746"/>
      <c r="B727" s="746"/>
      <c r="C727" s="746"/>
      <c r="D727" s="746"/>
      <c r="E727" s="1143"/>
      <c r="F727" s="1141"/>
      <c r="G727" s="1141"/>
      <c r="H727" s="1141"/>
      <c r="I727" s="1144"/>
      <c r="J727" s="1141"/>
      <c r="K727" s="1141"/>
      <c r="L727" s="1136"/>
    </row>
    <row r="728" spans="1:12" s="1130" customFormat="1">
      <c r="A728" s="746"/>
      <c r="B728" s="746"/>
      <c r="C728" s="746"/>
      <c r="D728" s="746"/>
      <c r="E728" s="1143"/>
      <c r="F728" s="1141"/>
      <c r="G728" s="1141"/>
      <c r="H728" s="1141"/>
      <c r="I728" s="1144"/>
      <c r="J728" s="1141"/>
      <c r="K728" s="1141"/>
      <c r="L728" s="1136"/>
    </row>
    <row r="729" spans="1:12" s="1130" customFormat="1">
      <c r="A729" s="746"/>
      <c r="B729" s="746"/>
      <c r="C729" s="746"/>
      <c r="D729" s="746"/>
      <c r="E729" s="1143"/>
      <c r="F729" s="1141"/>
      <c r="G729" s="1141"/>
      <c r="H729" s="1141"/>
      <c r="I729" s="1144"/>
      <c r="J729" s="1141"/>
      <c r="K729" s="1141"/>
      <c r="L729" s="1136"/>
    </row>
    <row r="730" spans="1:12" s="1130" customFormat="1">
      <c r="A730" s="746"/>
      <c r="B730" s="746"/>
      <c r="C730" s="746"/>
      <c r="D730" s="746"/>
      <c r="E730" s="1143"/>
      <c r="F730" s="1141"/>
      <c r="G730" s="1141"/>
      <c r="H730" s="1141"/>
      <c r="I730" s="1144"/>
      <c r="J730" s="1141"/>
      <c r="K730" s="1141"/>
      <c r="L730" s="1136"/>
    </row>
    <row r="731" spans="1:12" s="1130" customFormat="1">
      <c r="A731" s="746"/>
      <c r="B731" s="746"/>
      <c r="C731" s="746"/>
      <c r="D731" s="746"/>
      <c r="E731" s="1143"/>
      <c r="F731" s="1141"/>
      <c r="G731" s="1141"/>
      <c r="H731" s="1141"/>
      <c r="I731" s="1144"/>
      <c r="J731" s="1141"/>
      <c r="K731" s="1141"/>
      <c r="L731" s="1136"/>
    </row>
    <row r="732" spans="1:12" s="1130" customFormat="1">
      <c r="A732" s="746"/>
      <c r="B732" s="746"/>
      <c r="C732" s="746"/>
      <c r="D732" s="746"/>
      <c r="E732" s="1143"/>
      <c r="F732" s="1141"/>
      <c r="G732" s="1141"/>
      <c r="H732" s="1141"/>
      <c r="I732" s="1144"/>
      <c r="J732" s="1141"/>
      <c r="K732" s="1141"/>
      <c r="L732" s="1136"/>
    </row>
    <row r="733" spans="1:12" s="1130" customFormat="1">
      <c r="A733" s="746"/>
      <c r="B733" s="746"/>
      <c r="C733" s="746"/>
      <c r="D733" s="746"/>
      <c r="E733" s="1143"/>
      <c r="F733" s="1141"/>
      <c r="G733" s="1141"/>
      <c r="H733" s="1141"/>
      <c r="I733" s="1144"/>
      <c r="J733" s="1141"/>
      <c r="K733" s="1141"/>
      <c r="L733" s="1136"/>
    </row>
    <row r="734" spans="1:12" s="1130" customFormat="1">
      <c r="A734" s="746"/>
      <c r="B734" s="746"/>
      <c r="C734" s="746"/>
      <c r="D734" s="746"/>
      <c r="E734" s="1143"/>
      <c r="F734" s="1141"/>
      <c r="G734" s="1141"/>
      <c r="H734" s="1141"/>
      <c r="I734" s="1144"/>
      <c r="J734" s="1141"/>
      <c r="K734" s="1141"/>
      <c r="L734" s="1136"/>
    </row>
    <row r="735" spans="1:12" s="1130" customFormat="1">
      <c r="A735" s="746"/>
      <c r="B735" s="746"/>
      <c r="C735" s="746"/>
      <c r="D735" s="746"/>
      <c r="E735" s="1143"/>
      <c r="F735" s="1141"/>
      <c r="G735" s="1141"/>
      <c r="H735" s="1141"/>
      <c r="I735" s="1144"/>
      <c r="J735" s="1141"/>
      <c r="K735" s="1141"/>
      <c r="L735" s="1136"/>
    </row>
    <row r="736" spans="1:12" s="1130" customFormat="1">
      <c r="A736" s="746"/>
      <c r="B736" s="746"/>
      <c r="C736" s="746"/>
      <c r="D736" s="746"/>
      <c r="E736" s="1143"/>
      <c r="F736" s="1141"/>
      <c r="G736" s="1141"/>
      <c r="H736" s="1141"/>
      <c r="I736" s="1144"/>
      <c r="J736" s="1141"/>
      <c r="K736" s="1141"/>
      <c r="L736" s="1136"/>
    </row>
    <row r="737" spans="1:12" s="1130" customFormat="1">
      <c r="A737" s="746"/>
      <c r="B737" s="746"/>
      <c r="C737" s="746"/>
      <c r="D737" s="746"/>
      <c r="E737" s="1143"/>
      <c r="F737" s="1141"/>
      <c r="G737" s="1141"/>
      <c r="H737" s="1141"/>
      <c r="I737" s="1144"/>
      <c r="J737" s="1141"/>
      <c r="K737" s="1141"/>
      <c r="L737" s="1136"/>
    </row>
    <row r="738" spans="1:12" s="1130" customFormat="1">
      <c r="A738" s="746"/>
      <c r="B738" s="746"/>
      <c r="C738" s="746"/>
      <c r="D738" s="746"/>
      <c r="E738" s="1143"/>
      <c r="F738" s="1141"/>
      <c r="G738" s="1141"/>
      <c r="H738" s="1141"/>
      <c r="I738" s="1144"/>
      <c r="J738" s="1141"/>
      <c r="K738" s="1141"/>
      <c r="L738" s="1136"/>
    </row>
    <row r="739" spans="1:12" s="1130" customFormat="1">
      <c r="A739" s="746"/>
      <c r="B739" s="746"/>
      <c r="C739" s="746"/>
      <c r="D739" s="746"/>
      <c r="E739" s="1143"/>
      <c r="F739" s="1141"/>
      <c r="G739" s="1141"/>
      <c r="H739" s="1141"/>
      <c r="I739" s="1144"/>
      <c r="J739" s="1141"/>
      <c r="K739" s="1141"/>
      <c r="L739" s="1136"/>
    </row>
    <row r="740" spans="1:12" s="1130" customFormat="1">
      <c r="A740" s="746"/>
      <c r="B740" s="746"/>
      <c r="C740" s="746"/>
      <c r="D740" s="746"/>
      <c r="E740" s="1143"/>
      <c r="F740" s="1141"/>
      <c r="G740" s="1141"/>
      <c r="H740" s="1141"/>
      <c r="I740" s="1144"/>
      <c r="J740" s="1141"/>
      <c r="K740" s="1141"/>
      <c r="L740" s="1136"/>
    </row>
    <row r="741" spans="1:12" s="1130" customFormat="1">
      <c r="A741" s="746"/>
      <c r="B741" s="746"/>
      <c r="C741" s="746"/>
      <c r="D741" s="746"/>
      <c r="E741" s="1143"/>
      <c r="F741" s="1141"/>
      <c r="G741" s="1141"/>
      <c r="H741" s="1141"/>
      <c r="I741" s="1144"/>
      <c r="J741" s="1141"/>
      <c r="K741" s="1141"/>
      <c r="L741" s="1136"/>
    </row>
    <row r="742" spans="1:12" s="1130" customFormat="1">
      <c r="A742" s="746"/>
      <c r="B742" s="746"/>
      <c r="C742" s="746"/>
      <c r="D742" s="746"/>
      <c r="E742" s="1143"/>
      <c r="F742" s="1141"/>
      <c r="G742" s="1141"/>
      <c r="H742" s="1141"/>
      <c r="I742" s="1144"/>
      <c r="J742" s="1141"/>
      <c r="K742" s="1141"/>
      <c r="L742" s="1136"/>
    </row>
    <row r="743" spans="1:12" s="1130" customFormat="1">
      <c r="A743" s="746"/>
      <c r="B743" s="746"/>
      <c r="C743" s="746"/>
      <c r="D743" s="746"/>
      <c r="E743" s="1143"/>
      <c r="F743" s="1141"/>
      <c r="G743" s="1141"/>
      <c r="H743" s="1141"/>
      <c r="I743" s="1144"/>
      <c r="J743" s="1141"/>
      <c r="K743" s="1141"/>
      <c r="L743" s="1136"/>
    </row>
    <row r="744" spans="1:12" s="1130" customFormat="1">
      <c r="A744" s="746"/>
      <c r="B744" s="746"/>
      <c r="C744" s="746"/>
      <c r="D744" s="746"/>
      <c r="E744" s="1143"/>
      <c r="F744" s="1141"/>
      <c r="G744" s="1141"/>
      <c r="H744" s="1141"/>
      <c r="I744" s="1144"/>
      <c r="J744" s="1141"/>
      <c r="K744" s="1141"/>
      <c r="L744" s="1136"/>
    </row>
    <row r="745" spans="1:12" s="1130" customFormat="1">
      <c r="A745" s="746"/>
      <c r="B745" s="746"/>
      <c r="C745" s="746"/>
      <c r="D745" s="746"/>
      <c r="E745" s="1143"/>
      <c r="F745" s="1141"/>
      <c r="G745" s="1141"/>
      <c r="H745" s="1141"/>
      <c r="I745" s="1144"/>
      <c r="J745" s="1141"/>
      <c r="K745" s="1141"/>
      <c r="L745" s="1136"/>
    </row>
    <row r="746" spans="1:12" s="1130" customFormat="1">
      <c r="A746" s="746"/>
      <c r="B746" s="746"/>
      <c r="C746" s="746"/>
      <c r="D746" s="746"/>
      <c r="E746" s="1143"/>
      <c r="F746" s="1141"/>
      <c r="G746" s="1141"/>
      <c r="H746" s="1141"/>
      <c r="I746" s="1144"/>
      <c r="J746" s="1141"/>
      <c r="K746" s="1141"/>
      <c r="L746" s="1136"/>
    </row>
    <row r="747" spans="1:12" s="1130" customFormat="1">
      <c r="A747" s="746"/>
      <c r="B747" s="746"/>
      <c r="C747" s="746"/>
      <c r="D747" s="746"/>
      <c r="E747" s="1143"/>
      <c r="F747" s="1141"/>
      <c r="G747" s="1141"/>
      <c r="H747" s="1141"/>
      <c r="I747" s="1144"/>
      <c r="J747" s="1141"/>
      <c r="K747" s="1141"/>
      <c r="L747" s="1136"/>
    </row>
    <row r="748" spans="1:12" s="1130" customFormat="1">
      <c r="A748" s="746"/>
      <c r="B748" s="746"/>
      <c r="C748" s="746"/>
      <c r="D748" s="746"/>
      <c r="E748" s="1143"/>
      <c r="F748" s="1141"/>
      <c r="G748" s="1141"/>
      <c r="H748" s="1141"/>
      <c r="I748" s="1144"/>
      <c r="J748" s="1141"/>
      <c r="K748" s="1141"/>
      <c r="L748" s="1136"/>
    </row>
    <row r="749" spans="1:12" s="1130" customFormat="1">
      <c r="A749" s="746"/>
      <c r="B749" s="746"/>
      <c r="C749" s="746"/>
      <c r="D749" s="746"/>
      <c r="E749" s="1143"/>
      <c r="F749" s="1141"/>
      <c r="G749" s="1141"/>
      <c r="H749" s="1141"/>
      <c r="I749" s="1144"/>
      <c r="J749" s="1141"/>
      <c r="K749" s="1141"/>
      <c r="L749" s="1136"/>
    </row>
    <row r="750" spans="1:12" s="1130" customFormat="1">
      <c r="A750" s="746"/>
      <c r="B750" s="746"/>
      <c r="C750" s="746"/>
      <c r="D750" s="746"/>
      <c r="E750" s="1143"/>
      <c r="F750" s="1141"/>
      <c r="G750" s="1141"/>
      <c r="H750" s="1141"/>
      <c r="I750" s="1144"/>
      <c r="J750" s="1141"/>
      <c r="K750" s="1141"/>
      <c r="L750" s="1136"/>
    </row>
    <row r="751" spans="1:12" s="1130" customFormat="1">
      <c r="A751" s="746"/>
      <c r="B751" s="746"/>
      <c r="C751" s="746"/>
      <c r="D751" s="746"/>
      <c r="E751" s="1143"/>
      <c r="F751" s="1141"/>
      <c r="G751" s="1141"/>
      <c r="H751" s="1141"/>
      <c r="I751" s="1144"/>
      <c r="J751" s="1141"/>
      <c r="K751" s="1141"/>
      <c r="L751" s="1136"/>
    </row>
    <row r="752" spans="1:12" s="1130" customFormat="1">
      <c r="A752" s="746"/>
      <c r="B752" s="746"/>
      <c r="C752" s="746"/>
      <c r="D752" s="746"/>
      <c r="E752" s="1143"/>
      <c r="F752" s="1141"/>
      <c r="G752" s="1141"/>
      <c r="H752" s="1141"/>
      <c r="I752" s="1144"/>
      <c r="J752" s="1141"/>
      <c r="K752" s="1141"/>
      <c r="L752" s="1136"/>
    </row>
    <row r="753" spans="1:12" s="1130" customFormat="1">
      <c r="A753" s="746"/>
      <c r="B753" s="746"/>
      <c r="C753" s="746"/>
      <c r="D753" s="746"/>
      <c r="E753" s="1143"/>
      <c r="F753" s="1141"/>
      <c r="G753" s="1141"/>
      <c r="H753" s="1141"/>
      <c r="I753" s="1144"/>
      <c r="J753" s="1141"/>
      <c r="K753" s="1141"/>
      <c r="L753" s="1136"/>
    </row>
    <row r="754" spans="1:12" s="1130" customFormat="1">
      <c r="A754" s="746"/>
      <c r="B754" s="746"/>
      <c r="C754" s="746"/>
      <c r="D754" s="746"/>
      <c r="E754" s="1143"/>
      <c r="F754" s="1141"/>
      <c r="G754" s="1141"/>
      <c r="H754" s="1141"/>
      <c r="I754" s="1144"/>
      <c r="J754" s="1141"/>
      <c r="K754" s="1141"/>
      <c r="L754" s="1136"/>
    </row>
    <row r="755" spans="1:12" s="1130" customFormat="1">
      <c r="A755" s="746"/>
      <c r="B755" s="746"/>
      <c r="C755" s="746"/>
      <c r="D755" s="746"/>
      <c r="E755" s="1143"/>
      <c r="F755" s="1141"/>
      <c r="G755" s="1141"/>
      <c r="H755" s="1141"/>
      <c r="I755" s="1144"/>
      <c r="J755" s="1141"/>
      <c r="K755" s="1141"/>
      <c r="L755" s="1136"/>
    </row>
    <row r="756" spans="1:12" s="1130" customFormat="1">
      <c r="A756" s="746"/>
      <c r="B756" s="746"/>
      <c r="C756" s="746"/>
      <c r="D756" s="746"/>
      <c r="E756" s="1143"/>
      <c r="F756" s="1141"/>
      <c r="G756" s="1141"/>
      <c r="H756" s="1141"/>
      <c r="I756" s="1144"/>
      <c r="J756" s="1141"/>
      <c r="K756" s="1141"/>
      <c r="L756" s="1136"/>
    </row>
    <row r="757" spans="1:12" s="1130" customFormat="1">
      <c r="A757" s="746"/>
      <c r="B757" s="746"/>
      <c r="C757" s="746"/>
      <c r="D757" s="746"/>
      <c r="E757" s="1143"/>
      <c r="F757" s="1141"/>
      <c r="G757" s="1141"/>
      <c r="H757" s="1141"/>
      <c r="I757" s="1144"/>
      <c r="J757" s="1141"/>
      <c r="K757" s="1141"/>
      <c r="L757" s="1136"/>
    </row>
    <row r="758" spans="1:12" s="1130" customFormat="1">
      <c r="A758" s="746"/>
      <c r="B758" s="746"/>
      <c r="C758" s="746"/>
      <c r="D758" s="746"/>
      <c r="E758" s="1143"/>
      <c r="F758" s="1141"/>
      <c r="G758" s="1141"/>
      <c r="H758" s="1141"/>
      <c r="I758" s="1144"/>
      <c r="J758" s="1141"/>
      <c r="K758" s="1141"/>
      <c r="L758" s="1136"/>
    </row>
    <row r="759" spans="1:12" s="1130" customFormat="1">
      <c r="A759" s="746"/>
      <c r="B759" s="746"/>
      <c r="C759" s="746"/>
      <c r="D759" s="746"/>
      <c r="E759" s="1143"/>
      <c r="F759" s="1141"/>
      <c r="G759" s="1141"/>
      <c r="H759" s="1141"/>
      <c r="I759" s="1144"/>
      <c r="J759" s="1141"/>
      <c r="K759" s="1141"/>
      <c r="L759" s="1136"/>
    </row>
    <row r="760" spans="1:12" s="1130" customFormat="1">
      <c r="A760" s="746"/>
      <c r="B760" s="746"/>
      <c r="C760" s="746"/>
      <c r="D760" s="746"/>
      <c r="E760" s="1143"/>
      <c r="F760" s="1141"/>
      <c r="G760" s="1141"/>
      <c r="H760" s="1141"/>
      <c r="I760" s="1144"/>
      <c r="J760" s="1141"/>
      <c r="K760" s="1141"/>
      <c r="L760" s="1136"/>
    </row>
    <row r="761" spans="1:12" s="1130" customFormat="1">
      <c r="A761" s="746"/>
      <c r="B761" s="746"/>
      <c r="C761" s="746"/>
      <c r="D761" s="746"/>
      <c r="E761" s="1143"/>
      <c r="F761" s="1141"/>
      <c r="G761" s="1141"/>
      <c r="H761" s="1141"/>
      <c r="I761" s="1144"/>
      <c r="J761" s="1141"/>
      <c r="K761" s="1141"/>
      <c r="L761" s="1136"/>
    </row>
    <row r="762" spans="1:12" s="1130" customFormat="1">
      <c r="A762" s="746"/>
      <c r="B762" s="746"/>
      <c r="C762" s="746"/>
      <c r="D762" s="746"/>
      <c r="E762" s="1143"/>
      <c r="F762" s="1141"/>
      <c r="G762" s="1141"/>
      <c r="H762" s="1141"/>
      <c r="I762" s="1144"/>
      <c r="J762" s="1141"/>
      <c r="K762" s="1141"/>
      <c r="L762" s="1136"/>
    </row>
    <row r="763" spans="1:12" s="1130" customFormat="1">
      <c r="A763" s="746"/>
      <c r="B763" s="746"/>
      <c r="C763" s="746"/>
      <c r="D763" s="746"/>
      <c r="E763" s="1143"/>
      <c r="F763" s="1141"/>
      <c r="G763" s="1141"/>
      <c r="H763" s="1141"/>
      <c r="I763" s="1144"/>
      <c r="J763" s="1141"/>
      <c r="K763" s="1141"/>
      <c r="L763" s="1136"/>
    </row>
    <row r="764" spans="1:12" s="1130" customFormat="1">
      <c r="A764" s="746"/>
      <c r="B764" s="746"/>
      <c r="C764" s="746"/>
      <c r="D764" s="746"/>
      <c r="E764" s="1143"/>
      <c r="F764" s="1141"/>
      <c r="G764" s="1141"/>
      <c r="H764" s="1141"/>
      <c r="I764" s="1144"/>
      <c r="J764" s="1141"/>
      <c r="K764" s="1141"/>
      <c r="L764" s="1136"/>
    </row>
    <row r="765" spans="1:12" s="1130" customFormat="1">
      <c r="A765" s="746"/>
      <c r="B765" s="746"/>
      <c r="C765" s="746"/>
      <c r="D765" s="746"/>
      <c r="E765" s="1143"/>
      <c r="F765" s="1141"/>
      <c r="G765" s="1141"/>
      <c r="H765" s="1141"/>
      <c r="I765" s="1144"/>
      <c r="J765" s="1141"/>
      <c r="K765" s="1141"/>
      <c r="L765" s="1136"/>
    </row>
    <row r="766" spans="1:12" s="1130" customFormat="1">
      <c r="A766" s="746"/>
      <c r="B766" s="746"/>
      <c r="C766" s="746"/>
      <c r="D766" s="746"/>
      <c r="E766" s="1143"/>
      <c r="F766" s="1141"/>
      <c r="G766" s="1141"/>
      <c r="H766" s="1141"/>
      <c r="I766" s="1144"/>
      <c r="J766" s="1141"/>
      <c r="K766" s="1141"/>
      <c r="L766" s="1136"/>
    </row>
    <row r="767" spans="1:12" s="1130" customFormat="1">
      <c r="A767" s="746"/>
      <c r="B767" s="746"/>
      <c r="C767" s="746"/>
      <c r="D767" s="746"/>
      <c r="E767" s="1143"/>
      <c r="F767" s="1141"/>
      <c r="G767" s="1141"/>
      <c r="H767" s="1141"/>
      <c r="I767" s="1144"/>
      <c r="J767" s="1141"/>
      <c r="K767" s="1141"/>
      <c r="L767" s="1136"/>
    </row>
    <row r="768" spans="1:12" s="1130" customFormat="1">
      <c r="A768" s="746"/>
      <c r="B768" s="746"/>
      <c r="C768" s="746"/>
      <c r="D768" s="746"/>
      <c r="E768" s="1143"/>
      <c r="F768" s="1141"/>
      <c r="G768" s="1141"/>
      <c r="H768" s="1141"/>
      <c r="I768" s="1144"/>
      <c r="J768" s="1141"/>
      <c r="K768" s="1141"/>
      <c r="L768" s="1136"/>
    </row>
    <row r="769" spans="1:12" s="1130" customFormat="1">
      <c r="A769" s="746"/>
      <c r="B769" s="746"/>
      <c r="C769" s="746"/>
      <c r="D769" s="746"/>
      <c r="E769" s="1143"/>
      <c r="F769" s="1141"/>
      <c r="G769" s="1141"/>
      <c r="H769" s="1141"/>
      <c r="I769" s="1144"/>
      <c r="J769" s="1141"/>
      <c r="K769" s="1141"/>
      <c r="L769" s="1136"/>
    </row>
    <row r="770" spans="1:12" s="1130" customFormat="1">
      <c r="A770" s="746"/>
      <c r="B770" s="746"/>
      <c r="C770" s="746"/>
      <c r="D770" s="746"/>
      <c r="E770" s="1143"/>
      <c r="F770" s="1141"/>
      <c r="G770" s="1141"/>
      <c r="H770" s="1141"/>
      <c r="I770" s="1144"/>
      <c r="J770" s="1141"/>
      <c r="K770" s="1141"/>
      <c r="L770" s="1136"/>
    </row>
    <row r="771" spans="1:12" s="1130" customFormat="1">
      <c r="A771" s="746"/>
      <c r="B771" s="746"/>
      <c r="C771" s="746"/>
      <c r="D771" s="746"/>
      <c r="E771" s="1143"/>
      <c r="F771" s="1141"/>
      <c r="G771" s="1141"/>
      <c r="H771" s="1141"/>
      <c r="I771" s="1144"/>
      <c r="J771" s="1141"/>
      <c r="K771" s="1141"/>
      <c r="L771" s="1136"/>
    </row>
    <row r="772" spans="1:12" s="1130" customFormat="1">
      <c r="A772" s="746"/>
      <c r="B772" s="746"/>
      <c r="C772" s="746"/>
      <c r="D772" s="746"/>
      <c r="E772" s="1143"/>
      <c r="F772" s="1141"/>
      <c r="G772" s="1141"/>
      <c r="H772" s="1141"/>
      <c r="I772" s="1144"/>
      <c r="J772" s="1141"/>
      <c r="K772" s="1141"/>
      <c r="L772" s="1136"/>
    </row>
    <row r="773" spans="1:12" s="1130" customFormat="1">
      <c r="A773" s="746"/>
      <c r="B773" s="746"/>
      <c r="C773" s="746"/>
      <c r="D773" s="746"/>
      <c r="E773" s="1143"/>
      <c r="F773" s="1141"/>
      <c r="G773" s="1141"/>
      <c r="H773" s="1141"/>
      <c r="I773" s="1144"/>
      <c r="J773" s="1141"/>
      <c r="K773" s="1141"/>
      <c r="L773" s="1136"/>
    </row>
    <row r="774" spans="1:12" s="1130" customFormat="1">
      <c r="A774" s="746"/>
      <c r="B774" s="746"/>
      <c r="C774" s="746"/>
      <c r="D774" s="746"/>
      <c r="E774" s="1143"/>
      <c r="F774" s="1141"/>
      <c r="G774" s="1141"/>
      <c r="H774" s="1141"/>
      <c r="I774" s="1144"/>
      <c r="J774" s="1141"/>
      <c r="K774" s="1141"/>
      <c r="L774" s="1136"/>
    </row>
    <row r="775" spans="1:12" s="1130" customFormat="1">
      <c r="A775" s="746"/>
      <c r="B775" s="746"/>
      <c r="C775" s="746"/>
      <c r="D775" s="746"/>
      <c r="E775" s="1143"/>
      <c r="F775" s="1141"/>
      <c r="G775" s="1141"/>
      <c r="H775" s="1141"/>
      <c r="I775" s="1144"/>
      <c r="J775" s="1141"/>
      <c r="K775" s="1141"/>
      <c r="L775" s="1136"/>
    </row>
    <row r="776" spans="1:12" s="1130" customFormat="1">
      <c r="A776" s="746"/>
      <c r="B776" s="746"/>
      <c r="C776" s="746"/>
      <c r="D776" s="746"/>
      <c r="E776" s="1143"/>
      <c r="F776" s="1141"/>
      <c r="G776" s="1141"/>
      <c r="H776" s="1141"/>
      <c r="I776" s="1144"/>
      <c r="J776" s="1141"/>
      <c r="K776" s="1141"/>
      <c r="L776" s="1136"/>
    </row>
    <row r="777" spans="1:12" s="1130" customFormat="1">
      <c r="A777" s="746"/>
      <c r="B777" s="746"/>
      <c r="C777" s="746"/>
      <c r="D777" s="746"/>
      <c r="E777" s="1143"/>
      <c r="F777" s="1141"/>
      <c r="G777" s="1141"/>
      <c r="H777" s="1141"/>
      <c r="I777" s="1144"/>
      <c r="J777" s="1141"/>
      <c r="K777" s="1141"/>
      <c r="L777" s="1136"/>
    </row>
    <row r="778" spans="1:12" s="1130" customFormat="1">
      <c r="A778" s="746"/>
      <c r="B778" s="746"/>
      <c r="C778" s="746"/>
      <c r="D778" s="746"/>
      <c r="E778" s="1143"/>
      <c r="F778" s="1141"/>
      <c r="G778" s="1141"/>
      <c r="H778" s="1141"/>
      <c r="I778" s="1144"/>
      <c r="J778" s="1141"/>
      <c r="K778" s="1141"/>
      <c r="L778" s="1136"/>
    </row>
    <row r="779" spans="1:12" s="1130" customFormat="1">
      <c r="A779" s="746"/>
      <c r="B779" s="746"/>
      <c r="C779" s="746"/>
      <c r="D779" s="746"/>
      <c r="E779" s="1143"/>
      <c r="F779" s="1141"/>
      <c r="G779" s="1141"/>
      <c r="H779" s="1141"/>
      <c r="I779" s="1144"/>
      <c r="J779" s="1141"/>
      <c r="K779" s="1141"/>
      <c r="L779" s="1136"/>
    </row>
    <row r="780" spans="1:12" s="1130" customFormat="1">
      <c r="A780" s="746"/>
      <c r="B780" s="746"/>
      <c r="C780" s="746"/>
      <c r="D780" s="746"/>
      <c r="E780" s="1143"/>
      <c r="F780" s="1141"/>
      <c r="G780" s="1141"/>
      <c r="H780" s="1141"/>
      <c r="I780" s="1144"/>
      <c r="J780" s="1141"/>
      <c r="K780" s="1141"/>
      <c r="L780" s="1136"/>
    </row>
    <row r="781" spans="1:12" s="1130" customFormat="1">
      <c r="A781" s="746"/>
      <c r="B781" s="746"/>
      <c r="C781" s="746"/>
      <c r="D781" s="746"/>
      <c r="E781" s="1143"/>
      <c r="F781" s="1141"/>
      <c r="G781" s="1141"/>
      <c r="H781" s="1141"/>
      <c r="I781" s="1144"/>
      <c r="J781" s="1141"/>
      <c r="K781" s="1141"/>
      <c r="L781" s="1136"/>
    </row>
    <row r="782" spans="1:12" s="1130" customFormat="1">
      <c r="A782" s="746"/>
      <c r="B782" s="746"/>
      <c r="C782" s="746"/>
      <c r="D782" s="746"/>
      <c r="E782" s="1143"/>
      <c r="F782" s="1141"/>
      <c r="G782" s="1141"/>
      <c r="H782" s="1141"/>
      <c r="I782" s="1144"/>
      <c r="J782" s="1141"/>
      <c r="K782" s="1141"/>
      <c r="L782" s="1136"/>
    </row>
    <row r="783" spans="1:12" s="1130" customFormat="1">
      <c r="A783" s="746"/>
      <c r="B783" s="746"/>
      <c r="C783" s="746"/>
      <c r="D783" s="746"/>
      <c r="E783" s="1143"/>
      <c r="F783" s="1141"/>
      <c r="G783" s="1141"/>
      <c r="H783" s="1141"/>
      <c r="I783" s="1144"/>
      <c r="J783" s="1141"/>
      <c r="K783" s="1141"/>
      <c r="L783" s="1136"/>
    </row>
    <row r="784" spans="1:12" s="1130" customFormat="1">
      <c r="A784" s="746"/>
      <c r="B784" s="746"/>
      <c r="C784" s="746"/>
      <c r="D784" s="746"/>
      <c r="E784" s="1143"/>
      <c r="F784" s="1141"/>
      <c r="G784" s="1141"/>
      <c r="H784" s="1141"/>
      <c r="I784" s="1144"/>
      <c r="J784" s="1141"/>
      <c r="K784" s="1141"/>
      <c r="L784" s="1136"/>
    </row>
    <row r="785" spans="1:12" s="1130" customFormat="1">
      <c r="A785" s="746"/>
      <c r="B785" s="746"/>
      <c r="C785" s="746"/>
      <c r="D785" s="746"/>
      <c r="E785" s="1143"/>
      <c r="F785" s="1141"/>
      <c r="G785" s="1141"/>
      <c r="H785" s="1141"/>
      <c r="I785" s="1144"/>
      <c r="J785" s="1141"/>
      <c r="K785" s="1141"/>
      <c r="L785" s="1136"/>
    </row>
    <row r="786" spans="1:12" s="1130" customFormat="1">
      <c r="A786" s="746"/>
      <c r="B786" s="746"/>
      <c r="C786" s="746"/>
      <c r="D786" s="746"/>
      <c r="E786" s="1143"/>
      <c r="F786" s="1141"/>
      <c r="G786" s="1141"/>
      <c r="H786" s="1141"/>
      <c r="I786" s="1144"/>
      <c r="J786" s="1141"/>
      <c r="K786" s="1141"/>
      <c r="L786" s="1136"/>
    </row>
    <row r="787" spans="1:12" s="1130" customFormat="1">
      <c r="A787" s="746"/>
      <c r="B787" s="746"/>
      <c r="C787" s="746"/>
      <c r="D787" s="746"/>
      <c r="E787" s="1143"/>
      <c r="F787" s="1141"/>
      <c r="G787" s="1141"/>
      <c r="H787" s="1141"/>
      <c r="I787" s="1144"/>
      <c r="J787" s="1141"/>
      <c r="K787" s="1141"/>
      <c r="L787" s="1136"/>
    </row>
    <row r="788" spans="1:12" s="1130" customFormat="1">
      <c r="A788" s="746"/>
      <c r="B788" s="746"/>
      <c r="C788" s="746"/>
      <c r="D788" s="746"/>
      <c r="E788" s="1143"/>
      <c r="F788" s="1141"/>
      <c r="G788" s="1141"/>
      <c r="H788" s="1141"/>
      <c r="I788" s="1144"/>
      <c r="J788" s="1141"/>
      <c r="K788" s="1141"/>
      <c r="L788" s="1136"/>
    </row>
    <row r="789" spans="1:12" s="1130" customFormat="1">
      <c r="A789" s="746"/>
      <c r="B789" s="746"/>
      <c r="C789" s="746"/>
      <c r="D789" s="746"/>
      <c r="E789" s="1143"/>
      <c r="F789" s="1141"/>
      <c r="G789" s="1141"/>
      <c r="H789" s="1141"/>
      <c r="I789" s="1144"/>
      <c r="J789" s="1141"/>
      <c r="K789" s="1141"/>
      <c r="L789" s="1136"/>
    </row>
    <row r="790" spans="1:12" s="1130" customFormat="1">
      <c r="A790" s="746"/>
      <c r="B790" s="746"/>
      <c r="C790" s="746"/>
      <c r="D790" s="746"/>
      <c r="E790" s="1143"/>
      <c r="F790" s="1141"/>
      <c r="G790" s="1141"/>
      <c r="H790" s="1141"/>
      <c r="I790" s="1144"/>
      <c r="J790" s="1141"/>
      <c r="K790" s="1141"/>
      <c r="L790" s="1136"/>
    </row>
    <row r="791" spans="1:12" s="1130" customFormat="1">
      <c r="A791" s="746"/>
      <c r="B791" s="746"/>
      <c r="C791" s="746"/>
      <c r="D791" s="746"/>
      <c r="E791" s="1143"/>
      <c r="F791" s="1141"/>
      <c r="G791" s="1141"/>
      <c r="H791" s="1141"/>
      <c r="I791" s="1144"/>
      <c r="J791" s="1141"/>
      <c r="K791" s="1141"/>
      <c r="L791" s="1136"/>
    </row>
    <row r="792" spans="1:12" s="1130" customFormat="1">
      <c r="A792" s="746"/>
      <c r="B792" s="746"/>
      <c r="C792" s="746"/>
      <c r="D792" s="746"/>
      <c r="E792" s="1143"/>
      <c r="F792" s="1141"/>
      <c r="G792" s="1141"/>
      <c r="H792" s="1141"/>
      <c r="I792" s="1144"/>
      <c r="J792" s="1141"/>
      <c r="K792" s="1141"/>
      <c r="L792" s="1136"/>
    </row>
    <row r="793" spans="1:12" s="1130" customFormat="1">
      <c r="A793" s="746"/>
      <c r="B793" s="746"/>
      <c r="C793" s="746"/>
      <c r="D793" s="746"/>
      <c r="E793" s="1143"/>
      <c r="F793" s="1141"/>
      <c r="G793" s="1141"/>
      <c r="H793" s="1141"/>
      <c r="I793" s="1144"/>
      <c r="J793" s="1141"/>
      <c r="K793" s="1141"/>
      <c r="L793" s="1136"/>
    </row>
    <row r="794" spans="1:12" s="1130" customFormat="1">
      <c r="A794" s="746"/>
      <c r="B794" s="746"/>
      <c r="C794" s="746"/>
      <c r="D794" s="746"/>
      <c r="E794" s="1143"/>
      <c r="F794" s="1141"/>
      <c r="G794" s="1141"/>
      <c r="H794" s="1141"/>
      <c r="I794" s="1144"/>
      <c r="J794" s="1141"/>
      <c r="K794" s="1141"/>
      <c r="L794" s="1136"/>
    </row>
    <row r="795" spans="1:12" s="1130" customFormat="1">
      <c r="A795" s="746"/>
      <c r="B795" s="746"/>
      <c r="C795" s="746"/>
      <c r="D795" s="746"/>
      <c r="E795" s="1143"/>
      <c r="F795" s="1141"/>
      <c r="G795" s="1141"/>
      <c r="H795" s="1141"/>
      <c r="I795" s="1144"/>
      <c r="J795" s="1141"/>
      <c r="K795" s="1141"/>
      <c r="L795" s="1136"/>
    </row>
    <row r="796" spans="1:12" s="1130" customFormat="1">
      <c r="A796" s="746"/>
      <c r="B796" s="746"/>
      <c r="C796" s="746"/>
      <c r="D796" s="746"/>
      <c r="E796" s="1143"/>
      <c r="F796" s="1141"/>
      <c r="G796" s="1141"/>
      <c r="H796" s="1141"/>
      <c r="I796" s="1144"/>
      <c r="J796" s="1141"/>
      <c r="K796" s="1141"/>
      <c r="L796" s="1136"/>
    </row>
    <row r="797" spans="1:12" s="1130" customFormat="1">
      <c r="A797" s="746"/>
      <c r="B797" s="746"/>
      <c r="C797" s="746"/>
      <c r="D797" s="746"/>
      <c r="E797" s="1143"/>
      <c r="F797" s="1141"/>
      <c r="G797" s="1141"/>
      <c r="H797" s="1141"/>
      <c r="I797" s="1144"/>
      <c r="J797" s="1141"/>
      <c r="K797" s="1141"/>
      <c r="L797" s="1136"/>
    </row>
    <row r="798" spans="1:12" s="1130" customFormat="1">
      <c r="A798" s="746"/>
      <c r="B798" s="746"/>
      <c r="C798" s="746"/>
      <c r="D798" s="746"/>
      <c r="E798" s="1143"/>
      <c r="F798" s="1141"/>
      <c r="G798" s="1141"/>
      <c r="H798" s="1141"/>
      <c r="I798" s="1144"/>
      <c r="J798" s="1141"/>
      <c r="K798" s="1141"/>
      <c r="L798" s="1136"/>
    </row>
    <row r="799" spans="1:12" s="1130" customFormat="1">
      <c r="A799" s="746"/>
      <c r="B799" s="746"/>
      <c r="C799" s="746"/>
      <c r="D799" s="746"/>
      <c r="E799" s="1143"/>
      <c r="F799" s="1141"/>
      <c r="G799" s="1141"/>
      <c r="H799" s="1141"/>
      <c r="I799" s="1144"/>
      <c r="J799" s="1141"/>
      <c r="K799" s="1141"/>
      <c r="L799" s="1136"/>
    </row>
    <row r="800" spans="1:12" s="1130" customFormat="1">
      <c r="A800" s="746"/>
      <c r="B800" s="746"/>
      <c r="C800" s="746"/>
      <c r="D800" s="746"/>
      <c r="E800" s="1143"/>
      <c r="F800" s="1141"/>
      <c r="G800" s="1141"/>
      <c r="H800" s="1141"/>
      <c r="I800" s="1144"/>
      <c r="J800" s="1141"/>
      <c r="K800" s="1141"/>
      <c r="L800" s="1136"/>
    </row>
    <row r="801" spans="1:12" s="1130" customFormat="1">
      <c r="A801" s="746"/>
      <c r="B801" s="746"/>
      <c r="C801" s="746"/>
      <c r="D801" s="746"/>
      <c r="E801" s="1143"/>
      <c r="F801" s="1141"/>
      <c r="G801" s="1141"/>
      <c r="H801" s="1141"/>
      <c r="I801" s="1144"/>
      <c r="J801" s="1141"/>
      <c r="K801" s="1141"/>
      <c r="L801" s="1136"/>
    </row>
    <row r="802" spans="1:12" s="1130" customFormat="1">
      <c r="A802" s="746"/>
      <c r="B802" s="746"/>
      <c r="C802" s="746"/>
      <c r="D802" s="746"/>
      <c r="E802" s="1143"/>
      <c r="F802" s="1141"/>
      <c r="G802" s="1141"/>
      <c r="H802" s="1141"/>
      <c r="I802" s="1144"/>
      <c r="J802" s="1141"/>
      <c r="K802" s="1141"/>
      <c r="L802" s="1136"/>
    </row>
    <row r="803" spans="1:12" s="1130" customFormat="1">
      <c r="A803" s="746"/>
      <c r="B803" s="746"/>
      <c r="C803" s="746"/>
      <c r="D803" s="746"/>
      <c r="E803" s="1143"/>
      <c r="F803" s="1141"/>
      <c r="G803" s="1141"/>
      <c r="H803" s="1141"/>
      <c r="I803" s="1144"/>
      <c r="J803" s="1141"/>
      <c r="K803" s="1141"/>
      <c r="L803" s="1136"/>
    </row>
    <row r="804" spans="1:12" s="1130" customFormat="1">
      <c r="A804" s="746"/>
      <c r="B804" s="746"/>
      <c r="C804" s="746"/>
      <c r="D804" s="746"/>
      <c r="E804" s="1143"/>
      <c r="F804" s="1141"/>
      <c r="G804" s="1141"/>
      <c r="H804" s="1141"/>
      <c r="I804" s="1144"/>
      <c r="J804" s="1141"/>
      <c r="K804" s="1141"/>
      <c r="L804" s="1136"/>
    </row>
    <row r="805" spans="1:12" s="1130" customFormat="1">
      <c r="A805" s="746"/>
      <c r="B805" s="746"/>
      <c r="C805" s="746"/>
      <c r="D805" s="746"/>
      <c r="E805" s="1143"/>
      <c r="F805" s="1141"/>
      <c r="G805" s="1141"/>
      <c r="H805" s="1141"/>
      <c r="I805" s="1144"/>
      <c r="J805" s="1141"/>
      <c r="K805" s="1141"/>
      <c r="L805" s="1136"/>
    </row>
    <row r="806" spans="1:12" s="1130" customFormat="1">
      <c r="A806" s="746"/>
      <c r="B806" s="746"/>
      <c r="C806" s="746"/>
      <c r="D806" s="746"/>
      <c r="E806" s="1143"/>
      <c r="F806" s="1141"/>
      <c r="G806" s="1141"/>
      <c r="H806" s="1141"/>
      <c r="I806" s="1144"/>
      <c r="J806" s="1141"/>
      <c r="K806" s="1141"/>
      <c r="L806" s="1136"/>
    </row>
    <row r="807" spans="1:12" s="1130" customFormat="1">
      <c r="A807" s="746"/>
      <c r="B807" s="746"/>
      <c r="C807" s="746"/>
      <c r="D807" s="746"/>
      <c r="E807" s="1143"/>
      <c r="F807" s="1141"/>
      <c r="G807" s="1141"/>
      <c r="H807" s="1141"/>
      <c r="I807" s="1144"/>
      <c r="J807" s="1141"/>
      <c r="K807" s="1141"/>
      <c r="L807" s="1136"/>
    </row>
    <row r="808" spans="1:12" s="1130" customFormat="1">
      <c r="A808" s="746"/>
      <c r="B808" s="746"/>
      <c r="C808" s="746"/>
      <c r="D808" s="746"/>
      <c r="E808" s="1143"/>
      <c r="F808" s="1141"/>
      <c r="G808" s="1141"/>
      <c r="H808" s="1141"/>
      <c r="I808" s="1144"/>
      <c r="J808" s="1141"/>
      <c r="K808" s="1141"/>
      <c r="L808" s="1136"/>
    </row>
    <row r="809" spans="1:12" s="1130" customFormat="1">
      <c r="A809" s="746"/>
      <c r="B809" s="746"/>
      <c r="C809" s="746"/>
      <c r="D809" s="746"/>
      <c r="E809" s="1143"/>
      <c r="F809" s="1141"/>
      <c r="G809" s="1141"/>
      <c r="H809" s="1141"/>
      <c r="I809" s="1144"/>
      <c r="J809" s="1141"/>
      <c r="K809" s="1141"/>
      <c r="L809" s="1136"/>
    </row>
    <row r="810" spans="1:12" s="1130" customFormat="1">
      <c r="A810" s="746"/>
      <c r="B810" s="746"/>
      <c r="C810" s="746"/>
      <c r="D810" s="746"/>
      <c r="E810" s="1143"/>
      <c r="F810" s="1141"/>
      <c r="G810" s="1141"/>
      <c r="H810" s="1141"/>
      <c r="I810" s="1144"/>
      <c r="J810" s="1141"/>
      <c r="K810" s="1141"/>
      <c r="L810" s="1136"/>
    </row>
    <row r="811" spans="1:12" s="1130" customFormat="1">
      <c r="A811" s="746"/>
      <c r="B811" s="746"/>
      <c r="C811" s="746"/>
      <c r="D811" s="746"/>
      <c r="E811" s="1143"/>
      <c r="F811" s="1141"/>
      <c r="G811" s="1141"/>
      <c r="H811" s="1141"/>
      <c r="I811" s="1144"/>
      <c r="J811" s="1141"/>
      <c r="K811" s="1141"/>
      <c r="L811" s="1136"/>
    </row>
    <row r="812" spans="1:12" s="1130" customFormat="1">
      <c r="A812" s="746"/>
      <c r="B812" s="746"/>
      <c r="C812" s="746"/>
      <c r="D812" s="746"/>
      <c r="E812" s="1143"/>
      <c r="F812" s="1141"/>
      <c r="G812" s="1141"/>
      <c r="H812" s="1141"/>
      <c r="I812" s="1144"/>
      <c r="J812" s="1141"/>
      <c r="K812" s="1141"/>
      <c r="L812" s="1136"/>
    </row>
    <row r="813" spans="1:12" s="1130" customFormat="1">
      <c r="A813" s="746"/>
      <c r="B813" s="746"/>
      <c r="C813" s="746"/>
      <c r="D813" s="746"/>
      <c r="E813" s="1143"/>
      <c r="F813" s="1141"/>
      <c r="G813" s="1141"/>
      <c r="H813" s="1141"/>
      <c r="I813" s="1144"/>
      <c r="J813" s="1141"/>
      <c r="K813" s="1141"/>
      <c r="L813" s="1136"/>
    </row>
    <row r="814" spans="1:12" s="1130" customFormat="1">
      <c r="A814" s="746"/>
      <c r="B814" s="746"/>
      <c r="C814" s="746"/>
      <c r="D814" s="746"/>
      <c r="E814" s="1143"/>
      <c r="F814" s="1141"/>
      <c r="G814" s="1141"/>
      <c r="H814" s="1141"/>
      <c r="I814" s="1144"/>
      <c r="J814" s="1141"/>
      <c r="K814" s="1141"/>
      <c r="L814" s="1136"/>
    </row>
    <row r="815" spans="1:12" s="1130" customFormat="1">
      <c r="A815" s="746"/>
      <c r="B815" s="746"/>
      <c r="C815" s="746"/>
      <c r="D815" s="746"/>
      <c r="E815" s="1143"/>
      <c r="F815" s="1141"/>
      <c r="G815" s="1141"/>
      <c r="H815" s="1141"/>
      <c r="I815" s="1144"/>
      <c r="J815" s="1141"/>
      <c r="K815" s="1141"/>
      <c r="L815" s="1136"/>
    </row>
    <row r="816" spans="1:12" s="1130" customFormat="1">
      <c r="A816" s="746"/>
      <c r="B816" s="746"/>
      <c r="C816" s="746"/>
      <c r="D816" s="746"/>
      <c r="E816" s="1143"/>
      <c r="F816" s="1141"/>
      <c r="G816" s="1141"/>
      <c r="H816" s="1141"/>
      <c r="I816" s="1144"/>
      <c r="J816" s="1141"/>
      <c r="K816" s="1141"/>
      <c r="L816" s="1136"/>
    </row>
    <row r="817" spans="1:12" s="1130" customFormat="1">
      <c r="A817" s="746"/>
      <c r="B817" s="746"/>
      <c r="C817" s="746"/>
      <c r="D817" s="746"/>
      <c r="E817" s="1143"/>
      <c r="F817" s="1141"/>
      <c r="G817" s="1141"/>
      <c r="H817" s="1141"/>
      <c r="I817" s="1144"/>
      <c r="J817" s="1141"/>
      <c r="K817" s="1141"/>
      <c r="L817" s="1136"/>
    </row>
    <row r="818" spans="1:12" s="1130" customFormat="1">
      <c r="A818" s="746"/>
      <c r="B818" s="746"/>
      <c r="C818" s="746"/>
      <c r="D818" s="746"/>
      <c r="E818" s="1143"/>
      <c r="F818" s="1141"/>
      <c r="G818" s="1141"/>
      <c r="H818" s="1141"/>
      <c r="I818" s="1144"/>
      <c r="J818" s="1141"/>
      <c r="K818" s="1141"/>
      <c r="L818" s="1136"/>
    </row>
    <row r="819" spans="1:12" s="1130" customFormat="1">
      <c r="A819" s="746"/>
      <c r="B819" s="746"/>
      <c r="C819" s="746"/>
      <c r="D819" s="746"/>
      <c r="E819" s="1143"/>
      <c r="F819" s="1141"/>
      <c r="G819" s="1141"/>
      <c r="H819" s="1141"/>
      <c r="I819" s="1144"/>
      <c r="J819" s="1141"/>
      <c r="K819" s="1141"/>
      <c r="L819" s="1136"/>
    </row>
    <row r="820" spans="1:12" s="1130" customFormat="1">
      <c r="A820" s="746"/>
      <c r="B820" s="746"/>
      <c r="C820" s="746"/>
      <c r="D820" s="746"/>
      <c r="E820" s="1143"/>
      <c r="F820" s="1141"/>
      <c r="G820" s="1141"/>
      <c r="H820" s="1141"/>
      <c r="I820" s="1144"/>
      <c r="J820" s="1141"/>
      <c r="K820" s="1141"/>
      <c r="L820" s="1136"/>
    </row>
    <row r="821" spans="1:12" s="1130" customFormat="1">
      <c r="A821" s="746"/>
      <c r="B821" s="746"/>
      <c r="C821" s="746"/>
      <c r="D821" s="746"/>
      <c r="E821" s="1143"/>
      <c r="F821" s="1141"/>
      <c r="G821" s="1141"/>
      <c r="H821" s="1141"/>
      <c r="I821" s="1144"/>
      <c r="J821" s="1141"/>
      <c r="K821" s="1141"/>
      <c r="L821" s="1136"/>
    </row>
    <row r="822" spans="1:12" s="1130" customFormat="1">
      <c r="A822" s="746"/>
      <c r="B822" s="746"/>
      <c r="C822" s="746"/>
      <c r="D822" s="746"/>
      <c r="E822" s="1143"/>
      <c r="F822" s="1141"/>
      <c r="G822" s="1141"/>
      <c r="H822" s="1141"/>
      <c r="I822" s="1144"/>
      <c r="J822" s="1141"/>
      <c r="K822" s="1141"/>
      <c r="L822" s="1136"/>
    </row>
    <row r="823" spans="1:12" s="1130" customFormat="1">
      <c r="A823" s="746"/>
      <c r="B823" s="746"/>
      <c r="C823" s="746"/>
      <c r="D823" s="746"/>
      <c r="E823" s="1143"/>
      <c r="F823" s="1141"/>
      <c r="G823" s="1141"/>
      <c r="H823" s="1141"/>
      <c r="I823" s="1144"/>
      <c r="J823" s="1141"/>
      <c r="K823" s="1141"/>
      <c r="L823" s="1136"/>
    </row>
    <row r="824" spans="1:12" s="1130" customFormat="1">
      <c r="A824" s="746"/>
      <c r="B824" s="746"/>
      <c r="C824" s="746"/>
      <c r="D824" s="746"/>
      <c r="E824" s="1143"/>
      <c r="F824" s="1141"/>
      <c r="G824" s="1141"/>
      <c r="H824" s="1141"/>
      <c r="I824" s="1144"/>
      <c r="J824" s="1141"/>
      <c r="K824" s="1141"/>
      <c r="L824" s="1148"/>
    </row>
    <row r="825" spans="1:12" s="1130" customFormat="1">
      <c r="A825" s="746"/>
      <c r="B825" s="746"/>
      <c r="C825" s="746"/>
      <c r="D825" s="746"/>
      <c r="E825" s="1143"/>
      <c r="F825" s="1141"/>
      <c r="G825" s="1141"/>
      <c r="H825" s="1141"/>
      <c r="I825" s="1144"/>
      <c r="J825" s="1141"/>
      <c r="K825" s="1141"/>
      <c r="L825" s="1148"/>
    </row>
    <row r="826" spans="1:12" s="1130" customFormat="1">
      <c r="A826" s="746"/>
      <c r="B826" s="746"/>
      <c r="C826" s="746"/>
      <c r="D826" s="746"/>
      <c r="E826" s="1143"/>
      <c r="F826" s="1141"/>
      <c r="G826" s="1141"/>
      <c r="H826" s="1141"/>
      <c r="I826" s="1144"/>
      <c r="J826" s="1141"/>
      <c r="K826" s="1141"/>
      <c r="L826" s="1148"/>
    </row>
    <row r="827" spans="1:12" s="1130" customFormat="1">
      <c r="A827" s="746"/>
      <c r="B827" s="746"/>
      <c r="C827" s="746"/>
      <c r="D827" s="746"/>
      <c r="E827" s="1143"/>
      <c r="F827" s="1141"/>
      <c r="G827" s="1141"/>
      <c r="H827" s="1141"/>
      <c r="I827" s="1144"/>
      <c r="J827" s="1141"/>
      <c r="K827" s="1141"/>
      <c r="L827" s="1148"/>
    </row>
    <row r="828" spans="1:12" s="1130" customFormat="1">
      <c r="A828" s="746"/>
      <c r="B828" s="746"/>
      <c r="C828" s="746"/>
      <c r="D828" s="746"/>
      <c r="E828" s="1143"/>
      <c r="F828" s="1141"/>
      <c r="G828" s="1141"/>
      <c r="H828" s="1141"/>
      <c r="I828" s="1144"/>
      <c r="J828" s="1141"/>
      <c r="K828" s="1141"/>
      <c r="L828" s="1148"/>
    </row>
    <row r="829" spans="1:12" s="1130" customFormat="1">
      <c r="A829" s="746"/>
      <c r="B829" s="746"/>
      <c r="C829" s="746"/>
      <c r="D829" s="746"/>
      <c r="E829" s="1143"/>
      <c r="F829" s="1141"/>
      <c r="G829" s="1141"/>
      <c r="H829" s="1141"/>
      <c r="I829" s="1144"/>
      <c r="J829" s="1141"/>
      <c r="K829" s="1141"/>
      <c r="L829" s="1148"/>
    </row>
    <row r="830" spans="1:12" s="1130" customFormat="1">
      <c r="A830" s="746"/>
      <c r="B830" s="746"/>
      <c r="C830" s="746"/>
      <c r="D830" s="746"/>
      <c r="E830" s="1143"/>
      <c r="F830" s="1141"/>
      <c r="G830" s="1141"/>
      <c r="H830" s="1141"/>
      <c r="I830" s="1144"/>
      <c r="J830" s="1141"/>
      <c r="K830" s="1141"/>
      <c r="L830" s="1148"/>
    </row>
    <row r="831" spans="1:12" s="1130" customFormat="1">
      <c r="A831" s="746"/>
      <c r="B831" s="746"/>
      <c r="C831" s="746"/>
      <c r="D831" s="746"/>
      <c r="E831" s="1143"/>
      <c r="F831" s="1141"/>
      <c r="G831" s="1141"/>
      <c r="H831" s="1141"/>
      <c r="I831" s="1144"/>
      <c r="J831" s="1141"/>
      <c r="K831" s="1141"/>
      <c r="L831" s="1148"/>
    </row>
    <row r="832" spans="1:12" s="1130" customFormat="1">
      <c r="A832" s="746"/>
      <c r="B832" s="746"/>
      <c r="C832" s="746"/>
      <c r="D832" s="746"/>
      <c r="E832" s="1143"/>
      <c r="F832" s="1141"/>
      <c r="G832" s="1141"/>
      <c r="H832" s="1141"/>
      <c r="I832" s="1144"/>
      <c r="J832" s="1141"/>
      <c r="K832" s="1141"/>
      <c r="L832" s="1148"/>
    </row>
    <row r="833" spans="1:12" s="1130" customFormat="1">
      <c r="A833" s="746"/>
      <c r="B833" s="746"/>
      <c r="C833" s="746"/>
      <c r="D833" s="746"/>
      <c r="E833" s="1143"/>
      <c r="F833" s="1141"/>
      <c r="G833" s="1141"/>
      <c r="H833" s="1141"/>
      <c r="I833" s="1144"/>
      <c r="J833" s="1141"/>
      <c r="K833" s="1141"/>
      <c r="L833" s="1148"/>
    </row>
    <row r="834" spans="1:12" s="1130" customFormat="1">
      <c r="A834" s="746"/>
      <c r="B834" s="746"/>
      <c r="C834" s="746"/>
      <c r="D834" s="746"/>
      <c r="E834" s="1143"/>
      <c r="F834" s="1141"/>
      <c r="G834" s="1141"/>
      <c r="H834" s="1141"/>
      <c r="I834" s="1144"/>
      <c r="J834" s="1141"/>
      <c r="K834" s="1141"/>
      <c r="L834" s="1148"/>
    </row>
    <row r="835" spans="1:12" s="1130" customFormat="1">
      <c r="A835" s="746"/>
      <c r="B835" s="746"/>
      <c r="C835" s="746"/>
      <c r="D835" s="746"/>
      <c r="E835" s="1143"/>
      <c r="F835" s="1141"/>
      <c r="G835" s="1141"/>
      <c r="H835" s="1141"/>
      <c r="I835" s="1144"/>
      <c r="J835" s="1141"/>
      <c r="K835" s="1141"/>
      <c r="L835" s="1148"/>
    </row>
    <row r="836" spans="1:12" s="1130" customFormat="1">
      <c r="A836" s="746"/>
      <c r="B836" s="746"/>
      <c r="C836" s="746"/>
      <c r="D836" s="746"/>
      <c r="E836" s="1143"/>
      <c r="F836" s="1141"/>
      <c r="G836" s="1141"/>
      <c r="H836" s="1141"/>
      <c r="I836" s="1144"/>
      <c r="J836" s="1141"/>
      <c r="K836" s="1141"/>
      <c r="L836" s="1148"/>
    </row>
    <row r="837" spans="1:12" s="1130" customFormat="1">
      <c r="A837" s="746"/>
      <c r="B837" s="746"/>
      <c r="C837" s="746"/>
      <c r="D837" s="746"/>
      <c r="E837" s="1143"/>
      <c r="F837" s="1141"/>
      <c r="G837" s="1141"/>
      <c r="H837" s="1141"/>
      <c r="I837" s="1144"/>
      <c r="J837" s="1141"/>
      <c r="K837" s="1141"/>
      <c r="L837" s="1148"/>
    </row>
    <row r="838" spans="1:12" s="1130" customFormat="1">
      <c r="A838" s="746"/>
      <c r="B838" s="746"/>
      <c r="C838" s="746"/>
      <c r="D838" s="746"/>
      <c r="E838" s="1143"/>
      <c r="F838" s="1141"/>
      <c r="G838" s="1141"/>
      <c r="H838" s="1141"/>
      <c r="I838" s="1144"/>
      <c r="J838" s="1141"/>
      <c r="K838" s="1141"/>
      <c r="L838" s="1148"/>
    </row>
    <row r="839" spans="1:12" s="1130" customFormat="1">
      <c r="A839" s="746"/>
      <c r="B839" s="746"/>
      <c r="C839" s="746"/>
      <c r="D839" s="746"/>
      <c r="E839" s="1143"/>
      <c r="F839" s="1141"/>
      <c r="G839" s="1141"/>
      <c r="H839" s="1141"/>
      <c r="I839" s="1144"/>
      <c r="J839" s="1141"/>
      <c r="K839" s="1141"/>
      <c r="L839" s="1148"/>
    </row>
    <row r="840" spans="1:12" s="1130" customFormat="1">
      <c r="A840" s="746"/>
      <c r="B840" s="746"/>
      <c r="C840" s="746"/>
      <c r="D840" s="746"/>
      <c r="E840" s="1143"/>
      <c r="F840" s="1141"/>
      <c r="G840" s="1141"/>
      <c r="H840" s="1141"/>
      <c r="I840" s="1144"/>
      <c r="J840" s="1141"/>
      <c r="K840" s="1141"/>
      <c r="L840" s="1148"/>
    </row>
    <row r="841" spans="1:12" s="1130" customFormat="1">
      <c r="A841" s="746"/>
      <c r="B841" s="746"/>
      <c r="C841" s="746"/>
      <c r="D841" s="746"/>
      <c r="E841" s="1143"/>
      <c r="F841" s="1141"/>
      <c r="G841" s="1141"/>
      <c r="H841" s="1141"/>
      <c r="I841" s="1144"/>
      <c r="J841" s="1141"/>
      <c r="K841" s="1141"/>
      <c r="L841" s="1148"/>
    </row>
    <row r="842" spans="1:12" s="1130" customFormat="1">
      <c r="A842" s="746"/>
      <c r="B842" s="746"/>
      <c r="C842" s="746"/>
      <c r="D842" s="746"/>
      <c r="E842" s="1143"/>
      <c r="F842" s="1141"/>
      <c r="G842" s="1141"/>
      <c r="H842" s="1141"/>
      <c r="I842" s="1144"/>
      <c r="J842" s="1141"/>
      <c r="K842" s="1141"/>
      <c r="L842" s="1148"/>
    </row>
    <row r="843" spans="1:12" s="1130" customFormat="1">
      <c r="A843" s="746"/>
      <c r="B843" s="746"/>
      <c r="C843" s="746"/>
      <c r="D843" s="746"/>
      <c r="E843" s="1143"/>
      <c r="F843" s="1141"/>
      <c r="G843" s="1141"/>
      <c r="H843" s="1141"/>
      <c r="I843" s="1144"/>
      <c r="J843" s="1141"/>
      <c r="K843" s="1141"/>
      <c r="L843" s="1148"/>
    </row>
    <row r="844" spans="1:12" s="1130" customFormat="1">
      <c r="A844" s="746"/>
      <c r="B844" s="746"/>
      <c r="C844" s="746"/>
      <c r="D844" s="746"/>
      <c r="E844" s="1143"/>
      <c r="F844" s="1141"/>
      <c r="G844" s="1141"/>
      <c r="H844" s="1141"/>
      <c r="I844" s="1144"/>
      <c r="J844" s="1141"/>
      <c r="K844" s="1141"/>
      <c r="L844" s="1148"/>
    </row>
    <row r="845" spans="1:12" s="1130" customFormat="1">
      <c r="A845" s="746"/>
      <c r="B845" s="746"/>
      <c r="C845" s="746"/>
      <c r="D845" s="746"/>
      <c r="E845" s="1143"/>
      <c r="F845" s="1141"/>
      <c r="G845" s="1141"/>
      <c r="H845" s="1141"/>
      <c r="I845" s="1144"/>
      <c r="J845" s="1141"/>
      <c r="K845" s="1141"/>
      <c r="L845" s="1148"/>
    </row>
    <row r="846" spans="1:12" s="1130" customFormat="1">
      <c r="A846" s="746"/>
      <c r="B846" s="746"/>
      <c r="C846" s="746"/>
      <c r="D846" s="746"/>
      <c r="E846" s="1143"/>
      <c r="F846" s="1141"/>
      <c r="G846" s="1141"/>
      <c r="H846" s="1141"/>
      <c r="I846" s="1144"/>
      <c r="J846" s="1141"/>
      <c r="K846" s="1141"/>
      <c r="L846" s="1148"/>
    </row>
    <row r="847" spans="1:12" s="1130" customFormat="1">
      <c r="A847" s="746"/>
      <c r="B847" s="746"/>
      <c r="C847" s="746"/>
      <c r="D847" s="746"/>
      <c r="E847" s="1143"/>
      <c r="F847" s="1141"/>
      <c r="G847" s="1141"/>
      <c r="H847" s="1141"/>
      <c r="I847" s="1144"/>
      <c r="J847" s="1141"/>
      <c r="K847" s="1141"/>
      <c r="L847" s="1148"/>
    </row>
    <row r="848" spans="1:12" s="1130" customFormat="1">
      <c r="A848" s="746"/>
      <c r="B848" s="746"/>
      <c r="C848" s="746"/>
      <c r="D848" s="746"/>
      <c r="E848" s="1143"/>
      <c r="F848" s="1141"/>
      <c r="G848" s="1141"/>
      <c r="H848" s="1141"/>
      <c r="I848" s="1144"/>
      <c r="J848" s="1141"/>
      <c r="K848" s="1141"/>
      <c r="L848" s="1148"/>
    </row>
    <row r="849" spans="1:12" s="1130" customFormat="1">
      <c r="A849" s="746"/>
      <c r="B849" s="746"/>
      <c r="C849" s="746"/>
      <c r="D849" s="746"/>
      <c r="E849" s="1143"/>
      <c r="F849" s="1141"/>
      <c r="G849" s="1141"/>
      <c r="H849" s="1141"/>
      <c r="I849" s="1144"/>
      <c r="J849" s="1141"/>
      <c r="K849" s="1141"/>
      <c r="L849" s="1148"/>
    </row>
    <row r="850" spans="1:12" s="1130" customFormat="1">
      <c r="A850" s="746"/>
      <c r="B850" s="746"/>
      <c r="C850" s="746"/>
      <c r="D850" s="746"/>
      <c r="E850" s="1143"/>
      <c r="F850" s="1141"/>
      <c r="G850" s="1141"/>
      <c r="H850" s="1141"/>
      <c r="I850" s="1144"/>
      <c r="J850" s="1141"/>
      <c r="K850" s="1141"/>
      <c r="L850" s="1148"/>
    </row>
    <row r="851" spans="1:12" s="1130" customFormat="1">
      <c r="A851" s="746"/>
      <c r="B851" s="746"/>
      <c r="C851" s="746"/>
      <c r="D851" s="746"/>
      <c r="E851" s="1143"/>
      <c r="F851" s="1141"/>
      <c r="G851" s="1141"/>
      <c r="H851" s="1141"/>
      <c r="I851" s="1144"/>
      <c r="J851" s="1141"/>
      <c r="K851" s="1141"/>
      <c r="L851" s="1148"/>
    </row>
    <row r="852" spans="1:12" s="1130" customFormat="1">
      <c r="A852" s="746"/>
      <c r="B852" s="746"/>
      <c r="C852" s="746"/>
      <c r="D852" s="746"/>
      <c r="E852" s="1143"/>
      <c r="F852" s="1141"/>
      <c r="G852" s="1141"/>
      <c r="H852" s="1141"/>
      <c r="I852" s="1144"/>
      <c r="J852" s="1141"/>
      <c r="K852" s="1141"/>
      <c r="L852" s="1148"/>
    </row>
    <row r="853" spans="1:12" s="1130" customFormat="1">
      <c r="A853" s="746"/>
      <c r="B853" s="746"/>
      <c r="C853" s="746"/>
      <c r="D853" s="746"/>
      <c r="E853" s="1143"/>
      <c r="F853" s="1141"/>
      <c r="G853" s="1141"/>
      <c r="H853" s="1141"/>
      <c r="I853" s="1144"/>
      <c r="J853" s="1141"/>
      <c r="K853" s="1141"/>
      <c r="L853" s="1148"/>
    </row>
    <row r="854" spans="1:12" s="1130" customFormat="1">
      <c r="A854" s="746"/>
      <c r="B854" s="746"/>
      <c r="C854" s="746"/>
      <c r="D854" s="746"/>
      <c r="E854" s="1143"/>
      <c r="F854" s="1141"/>
      <c r="G854" s="1141"/>
      <c r="H854" s="1141"/>
      <c r="I854" s="1144"/>
      <c r="J854" s="1141"/>
      <c r="K854" s="1141"/>
      <c r="L854" s="1148"/>
    </row>
    <row r="855" spans="1:12" s="1130" customFormat="1">
      <c r="A855" s="746"/>
      <c r="B855" s="746"/>
      <c r="C855" s="746"/>
      <c r="D855" s="746"/>
      <c r="E855" s="1143"/>
      <c r="F855" s="1141"/>
      <c r="G855" s="1141"/>
      <c r="H855" s="1141"/>
      <c r="I855" s="1144"/>
      <c r="J855" s="1141"/>
      <c r="K855" s="1141"/>
      <c r="L855" s="1148"/>
    </row>
    <row r="856" spans="1:12" s="1130" customFormat="1">
      <c r="A856" s="746"/>
      <c r="B856" s="746"/>
      <c r="C856" s="746"/>
      <c r="D856" s="746"/>
      <c r="E856" s="1143"/>
      <c r="F856" s="1141"/>
      <c r="G856" s="1141"/>
      <c r="H856" s="1141"/>
      <c r="I856" s="1144"/>
      <c r="J856" s="1141"/>
      <c r="K856" s="1141"/>
      <c r="L856" s="1148"/>
    </row>
    <row r="857" spans="1:12" s="1130" customFormat="1">
      <c r="A857" s="746"/>
      <c r="B857" s="746"/>
      <c r="C857" s="746"/>
      <c r="D857" s="746"/>
      <c r="E857" s="1143"/>
      <c r="F857" s="1141"/>
      <c r="G857" s="1141"/>
      <c r="H857" s="1141"/>
      <c r="I857" s="1144"/>
      <c r="J857" s="1141"/>
      <c r="K857" s="1141"/>
      <c r="L857" s="1148"/>
    </row>
    <row r="858" spans="1:12" s="1130" customFormat="1">
      <c r="A858" s="746"/>
      <c r="B858" s="746"/>
      <c r="C858" s="746"/>
      <c r="D858" s="746"/>
      <c r="E858" s="1143"/>
      <c r="F858" s="1141"/>
      <c r="G858" s="1141"/>
      <c r="H858" s="1141"/>
      <c r="I858" s="1144"/>
      <c r="J858" s="1141"/>
      <c r="K858" s="1141"/>
      <c r="L858" s="1148"/>
    </row>
    <row r="859" spans="1:12" s="1130" customFormat="1">
      <c r="A859" s="746"/>
      <c r="B859" s="746"/>
      <c r="C859" s="746"/>
      <c r="D859" s="746"/>
      <c r="E859" s="1143"/>
      <c r="F859" s="1141"/>
      <c r="G859" s="1141"/>
      <c r="H859" s="1141"/>
      <c r="I859" s="1144"/>
      <c r="J859" s="1141"/>
      <c r="K859" s="1141"/>
      <c r="L859" s="1148"/>
    </row>
    <row r="860" spans="1:12" s="1130" customFormat="1">
      <c r="A860" s="746"/>
      <c r="B860" s="746"/>
      <c r="C860" s="746"/>
      <c r="D860" s="746"/>
      <c r="E860" s="1143"/>
      <c r="F860" s="1141"/>
      <c r="G860" s="1141"/>
      <c r="H860" s="1141"/>
      <c r="I860" s="1144"/>
      <c r="J860" s="1141"/>
      <c r="K860" s="1141"/>
      <c r="L860" s="1148"/>
    </row>
    <row r="861" spans="1:12" s="1130" customFormat="1">
      <c r="A861" s="746"/>
      <c r="B861" s="746"/>
      <c r="C861" s="746"/>
      <c r="D861" s="746"/>
      <c r="E861" s="1143"/>
      <c r="F861" s="1141"/>
      <c r="G861" s="1141"/>
      <c r="H861" s="1141"/>
      <c r="I861" s="1144"/>
      <c r="J861" s="1141"/>
      <c r="K861" s="1141"/>
      <c r="L861" s="1148"/>
    </row>
    <row r="862" spans="1:12" s="1130" customFormat="1">
      <c r="A862" s="746"/>
      <c r="B862" s="746"/>
      <c r="C862" s="746"/>
      <c r="D862" s="746"/>
      <c r="E862" s="1143"/>
      <c r="F862" s="1141"/>
      <c r="G862" s="1141"/>
      <c r="H862" s="1141"/>
      <c r="I862" s="1144"/>
      <c r="J862" s="1141"/>
      <c r="K862" s="1141"/>
      <c r="L862" s="1148"/>
    </row>
    <row r="863" spans="1:12" s="1130" customFormat="1">
      <c r="A863" s="746"/>
      <c r="B863" s="746"/>
      <c r="C863" s="746"/>
      <c r="D863" s="746"/>
      <c r="E863" s="1143"/>
      <c r="F863" s="1141"/>
      <c r="G863" s="1141"/>
      <c r="H863" s="1141"/>
      <c r="I863" s="1144"/>
      <c r="J863" s="1141"/>
      <c r="K863" s="1141"/>
      <c r="L863" s="1148"/>
    </row>
    <row r="864" spans="1:12" s="1130" customFormat="1">
      <c r="A864" s="746"/>
      <c r="B864" s="746"/>
      <c r="C864" s="746"/>
      <c r="D864" s="746"/>
      <c r="E864" s="1143"/>
      <c r="F864" s="1141"/>
      <c r="G864" s="1141"/>
      <c r="H864" s="1141"/>
      <c r="I864" s="1144"/>
      <c r="J864" s="1141"/>
      <c r="K864" s="1141"/>
      <c r="L864" s="1148"/>
    </row>
    <row r="865" spans="1:12" s="1130" customFormat="1">
      <c r="A865" s="746"/>
      <c r="B865" s="746"/>
      <c r="C865" s="746"/>
      <c r="D865" s="746"/>
      <c r="E865" s="1143"/>
      <c r="F865" s="1141"/>
      <c r="G865" s="1141"/>
      <c r="H865" s="1141"/>
      <c r="I865" s="1144"/>
      <c r="J865" s="1141"/>
      <c r="K865" s="1141"/>
      <c r="L865" s="1148"/>
    </row>
    <row r="866" spans="1:12" s="1130" customFormat="1">
      <c r="A866" s="746"/>
      <c r="B866" s="746"/>
      <c r="C866" s="746"/>
      <c r="D866" s="746"/>
      <c r="E866" s="1143"/>
      <c r="F866" s="1141"/>
      <c r="G866" s="1141"/>
      <c r="H866" s="1141"/>
      <c r="I866" s="1144"/>
      <c r="J866" s="1141"/>
      <c r="K866" s="1141"/>
      <c r="L866" s="1148"/>
    </row>
    <row r="867" spans="1:12" s="1130" customFormat="1">
      <c r="A867" s="746"/>
      <c r="B867" s="746"/>
      <c r="C867" s="746"/>
      <c r="D867" s="746"/>
      <c r="E867" s="1143"/>
      <c r="F867" s="1141"/>
      <c r="G867" s="1141"/>
      <c r="H867" s="1141"/>
      <c r="I867" s="1144"/>
      <c r="J867" s="1141"/>
      <c r="K867" s="1141"/>
      <c r="L867" s="1148"/>
    </row>
    <row r="868" spans="1:12" s="1130" customFormat="1">
      <c r="A868" s="746"/>
      <c r="B868" s="746"/>
      <c r="C868" s="746"/>
      <c r="D868" s="746"/>
      <c r="E868" s="1143"/>
      <c r="F868" s="1141"/>
      <c r="G868" s="1141"/>
      <c r="H868" s="1141"/>
      <c r="I868" s="1144"/>
      <c r="J868" s="1141"/>
      <c r="K868" s="1141"/>
      <c r="L868" s="1148"/>
    </row>
    <row r="869" spans="1:12" s="1130" customFormat="1">
      <c r="A869" s="746"/>
      <c r="B869" s="746"/>
      <c r="C869" s="746"/>
      <c r="D869" s="746"/>
      <c r="E869" s="1143"/>
      <c r="F869" s="1141"/>
      <c r="G869" s="1141"/>
      <c r="H869" s="1141"/>
      <c r="I869" s="1144"/>
      <c r="J869" s="1141"/>
      <c r="K869" s="1141"/>
      <c r="L869" s="1148"/>
    </row>
    <row r="870" spans="1:12" s="1130" customFormat="1">
      <c r="A870" s="746"/>
      <c r="B870" s="746"/>
      <c r="C870" s="746"/>
      <c r="D870" s="746"/>
      <c r="E870" s="1143"/>
      <c r="F870" s="1141"/>
      <c r="G870" s="1141"/>
      <c r="H870" s="1141"/>
      <c r="I870" s="1144"/>
      <c r="J870" s="1141"/>
      <c r="K870" s="1141"/>
      <c r="L870" s="1148"/>
    </row>
    <row r="871" spans="1:12" s="1130" customFormat="1">
      <c r="A871" s="746"/>
      <c r="B871" s="746"/>
      <c r="C871" s="746"/>
      <c r="D871" s="746"/>
      <c r="E871" s="1143"/>
      <c r="F871" s="1141"/>
      <c r="G871" s="1141"/>
      <c r="H871" s="1141"/>
      <c r="I871" s="1144"/>
      <c r="J871" s="1141"/>
      <c r="K871" s="1141"/>
      <c r="L871" s="1148"/>
    </row>
    <row r="872" spans="1:12" s="1130" customFormat="1">
      <c r="A872" s="746"/>
      <c r="B872" s="746"/>
      <c r="C872" s="746"/>
      <c r="D872" s="746"/>
      <c r="E872" s="1143"/>
      <c r="F872" s="1141"/>
      <c r="G872" s="1141"/>
      <c r="H872" s="1141"/>
      <c r="I872" s="1144"/>
      <c r="J872" s="1141"/>
      <c r="K872" s="1141"/>
      <c r="L872" s="1148"/>
    </row>
    <row r="873" spans="1:12" s="1130" customFormat="1">
      <c r="A873" s="746"/>
      <c r="B873" s="746"/>
      <c r="C873" s="746"/>
      <c r="D873" s="746"/>
      <c r="E873" s="1143"/>
      <c r="F873" s="1141"/>
      <c r="G873" s="1141"/>
      <c r="H873" s="1141"/>
      <c r="I873" s="1144"/>
      <c r="J873" s="1141"/>
      <c r="K873" s="1141"/>
      <c r="L873" s="1148"/>
    </row>
    <row r="874" spans="1:12" s="1130" customFormat="1">
      <c r="A874" s="746"/>
      <c r="B874" s="746"/>
      <c r="C874" s="746"/>
      <c r="D874" s="746"/>
      <c r="E874" s="1143"/>
      <c r="F874" s="1141"/>
      <c r="G874" s="1141"/>
      <c r="H874" s="1141"/>
      <c r="I874" s="1144"/>
      <c r="J874" s="1141"/>
      <c r="K874" s="1141"/>
      <c r="L874" s="1148"/>
    </row>
    <row r="875" spans="1:12" s="1130" customFormat="1">
      <c r="A875" s="746"/>
      <c r="B875" s="746"/>
      <c r="C875" s="746"/>
      <c r="D875" s="746"/>
      <c r="E875" s="1143"/>
      <c r="F875" s="1141"/>
      <c r="G875" s="1141"/>
      <c r="H875" s="1141"/>
      <c r="I875" s="1144"/>
      <c r="J875" s="1141"/>
      <c r="K875" s="1141"/>
      <c r="L875" s="1148"/>
    </row>
    <row r="876" spans="1:12" s="1130" customFormat="1">
      <c r="A876" s="746"/>
      <c r="B876" s="746"/>
      <c r="C876" s="746"/>
      <c r="D876" s="746"/>
      <c r="E876" s="1143"/>
      <c r="F876" s="1141"/>
      <c r="G876" s="1141"/>
      <c r="H876" s="1141"/>
      <c r="I876" s="1144"/>
      <c r="J876" s="1141"/>
      <c r="K876" s="1141"/>
      <c r="L876" s="1148"/>
    </row>
    <row r="877" spans="1:12" s="1130" customFormat="1">
      <c r="A877" s="746"/>
      <c r="B877" s="746"/>
      <c r="C877" s="746"/>
      <c r="D877" s="746"/>
      <c r="E877" s="1143"/>
      <c r="F877" s="1141"/>
      <c r="G877" s="1141"/>
      <c r="H877" s="1141"/>
      <c r="I877" s="1144"/>
      <c r="J877" s="1141"/>
      <c r="K877" s="1141"/>
      <c r="L877" s="1148"/>
    </row>
    <row r="878" spans="1:12" s="1130" customFormat="1">
      <c r="A878" s="746"/>
      <c r="B878" s="746"/>
      <c r="C878" s="746"/>
      <c r="D878" s="746"/>
      <c r="E878" s="1143"/>
      <c r="F878" s="1141"/>
      <c r="G878" s="1141"/>
      <c r="H878" s="1141"/>
      <c r="I878" s="1144"/>
      <c r="J878" s="1141"/>
      <c r="K878" s="1141"/>
      <c r="L878" s="1148"/>
    </row>
    <row r="879" spans="1:12" s="1130" customFormat="1">
      <c r="A879" s="746"/>
      <c r="B879" s="746"/>
      <c r="C879" s="746"/>
      <c r="D879" s="746"/>
      <c r="E879" s="1143"/>
      <c r="F879" s="1141"/>
      <c r="G879" s="1141"/>
      <c r="H879" s="1141"/>
      <c r="I879" s="1144"/>
      <c r="J879" s="1141"/>
      <c r="K879" s="1141"/>
      <c r="L879" s="1148"/>
    </row>
    <row r="880" spans="1:12" s="1130" customFormat="1">
      <c r="A880" s="746"/>
      <c r="B880" s="746"/>
      <c r="C880" s="746"/>
      <c r="D880" s="746"/>
      <c r="E880" s="1143"/>
      <c r="F880" s="1141"/>
      <c r="G880" s="1141"/>
      <c r="H880" s="1141"/>
      <c r="I880" s="1144"/>
      <c r="J880" s="1141"/>
      <c r="K880" s="1141"/>
      <c r="L880" s="1148"/>
    </row>
    <row r="881" spans="1:12" s="1130" customFormat="1">
      <c r="A881" s="746"/>
      <c r="B881" s="746"/>
      <c r="C881" s="746"/>
      <c r="D881" s="746"/>
      <c r="E881" s="1143"/>
      <c r="F881" s="1141"/>
      <c r="G881" s="1141"/>
      <c r="H881" s="1141"/>
      <c r="I881" s="1144"/>
      <c r="J881" s="1141"/>
      <c r="K881" s="1141"/>
      <c r="L881" s="1148"/>
    </row>
    <row r="882" spans="1:12" s="1130" customFormat="1">
      <c r="A882" s="746"/>
      <c r="B882" s="746"/>
      <c r="C882" s="746"/>
      <c r="D882" s="746"/>
      <c r="E882" s="1143"/>
      <c r="F882" s="1141"/>
      <c r="G882" s="1141"/>
      <c r="H882" s="1141"/>
      <c r="I882" s="1144"/>
      <c r="J882" s="1141"/>
      <c r="K882" s="1141"/>
      <c r="L882" s="1148"/>
    </row>
    <row r="883" spans="1:12" s="1130" customFormat="1">
      <c r="A883" s="746"/>
      <c r="B883" s="746"/>
      <c r="C883" s="746"/>
      <c r="D883" s="746"/>
      <c r="E883" s="1143"/>
      <c r="F883" s="1141"/>
      <c r="G883" s="1141"/>
      <c r="H883" s="1141"/>
      <c r="I883" s="1144"/>
      <c r="J883" s="1141"/>
      <c r="K883" s="1141"/>
      <c r="L883" s="1148"/>
    </row>
    <row r="884" spans="1:12" s="1130" customFormat="1">
      <c r="A884" s="746"/>
      <c r="B884" s="746"/>
      <c r="C884" s="746"/>
      <c r="D884" s="746"/>
      <c r="E884" s="1143"/>
      <c r="F884" s="1141"/>
      <c r="G884" s="1141"/>
      <c r="H884" s="1141"/>
      <c r="I884" s="1144"/>
      <c r="J884" s="1141"/>
      <c r="K884" s="1141"/>
      <c r="L884" s="1148"/>
    </row>
    <row r="885" spans="1:12" s="1130" customFormat="1">
      <c r="A885" s="746"/>
      <c r="B885" s="746"/>
      <c r="C885" s="746"/>
      <c r="D885" s="746"/>
      <c r="E885" s="1143"/>
      <c r="F885" s="1141"/>
      <c r="G885" s="1141"/>
      <c r="H885" s="1141"/>
      <c r="I885" s="1144"/>
      <c r="J885" s="1141"/>
      <c r="K885" s="1141"/>
      <c r="L885" s="1148"/>
    </row>
    <row r="886" spans="1:12" s="1130" customFormat="1">
      <c r="A886" s="746"/>
      <c r="B886" s="746"/>
      <c r="C886" s="746"/>
      <c r="D886" s="746"/>
      <c r="E886" s="1143"/>
      <c r="F886" s="1141"/>
      <c r="G886" s="1141"/>
      <c r="H886" s="1141"/>
      <c r="I886" s="1144"/>
      <c r="J886" s="1141"/>
      <c r="K886" s="1141"/>
      <c r="L886" s="1148"/>
    </row>
    <row r="887" spans="1:12" s="1130" customFormat="1">
      <c r="A887" s="746"/>
      <c r="B887" s="746"/>
      <c r="C887" s="746"/>
      <c r="D887" s="746"/>
      <c r="E887" s="1143"/>
      <c r="F887" s="1141"/>
      <c r="G887" s="1141"/>
      <c r="H887" s="1141"/>
      <c r="I887" s="1144"/>
      <c r="J887" s="1141"/>
      <c r="K887" s="1141"/>
      <c r="L887" s="1148"/>
    </row>
    <row r="888" spans="1:12" s="1130" customFormat="1">
      <c r="A888" s="746"/>
      <c r="B888" s="746"/>
      <c r="C888" s="746"/>
      <c r="D888" s="746"/>
      <c r="E888" s="1143"/>
      <c r="F888" s="1141"/>
      <c r="G888" s="1141"/>
      <c r="H888" s="1141"/>
      <c r="I888" s="1144"/>
      <c r="J888" s="1141"/>
      <c r="K888" s="1141"/>
      <c r="L888" s="1148"/>
    </row>
    <row r="889" spans="1:12" s="1130" customFormat="1">
      <c r="A889" s="746"/>
      <c r="B889" s="746"/>
      <c r="C889" s="746"/>
      <c r="D889" s="746"/>
      <c r="E889" s="1143"/>
      <c r="F889" s="1141"/>
      <c r="G889" s="1141"/>
      <c r="H889" s="1141"/>
      <c r="I889" s="1144"/>
      <c r="J889" s="1141"/>
      <c r="K889" s="1141"/>
      <c r="L889" s="1148"/>
    </row>
    <row r="890" spans="1:12" s="1130" customFormat="1">
      <c r="A890" s="746"/>
      <c r="B890" s="746"/>
      <c r="C890" s="746"/>
      <c r="D890" s="746"/>
      <c r="E890" s="1143"/>
      <c r="F890" s="1141"/>
      <c r="G890" s="1141"/>
      <c r="H890" s="1141"/>
      <c r="I890" s="1144"/>
      <c r="J890" s="1141"/>
      <c r="K890" s="1141"/>
      <c r="L890" s="1148"/>
    </row>
    <row r="891" spans="1:12" s="1130" customFormat="1">
      <c r="A891" s="746"/>
      <c r="B891" s="746"/>
      <c r="C891" s="746"/>
      <c r="D891" s="746"/>
      <c r="E891" s="1143"/>
      <c r="F891" s="1141"/>
      <c r="G891" s="1141"/>
      <c r="H891" s="1141"/>
      <c r="I891" s="1144"/>
      <c r="J891" s="1141"/>
      <c r="K891" s="1141"/>
      <c r="L891" s="1148"/>
    </row>
    <row r="892" spans="1:12" s="1130" customFormat="1">
      <c r="A892" s="746"/>
      <c r="B892" s="746"/>
      <c r="C892" s="746"/>
      <c r="D892" s="746"/>
      <c r="E892" s="1143"/>
      <c r="F892" s="1141"/>
      <c r="G892" s="1141"/>
      <c r="H892" s="1141"/>
      <c r="I892" s="1144"/>
      <c r="J892" s="1141"/>
      <c r="K892" s="1141"/>
      <c r="L892" s="1148"/>
    </row>
    <row r="893" spans="1:12" s="1130" customFormat="1">
      <c r="A893" s="746"/>
      <c r="B893" s="746"/>
      <c r="C893" s="746"/>
      <c r="D893" s="746"/>
      <c r="E893" s="1143"/>
      <c r="F893" s="1141"/>
      <c r="G893" s="1141"/>
      <c r="H893" s="1141"/>
      <c r="I893" s="1144"/>
      <c r="J893" s="1141"/>
      <c r="K893" s="1141"/>
      <c r="L893" s="1148"/>
    </row>
    <row r="894" spans="1:12" s="1130" customFormat="1">
      <c r="A894" s="746"/>
      <c r="B894" s="746"/>
      <c r="C894" s="746"/>
      <c r="D894" s="746"/>
      <c r="E894" s="1143"/>
      <c r="F894" s="1141"/>
      <c r="G894" s="1141"/>
      <c r="H894" s="1141"/>
      <c r="I894" s="1144"/>
      <c r="J894" s="1141"/>
      <c r="K894" s="1141"/>
      <c r="L894" s="1148"/>
    </row>
    <row r="895" spans="1:12" s="1130" customFormat="1">
      <c r="A895" s="746"/>
      <c r="B895" s="746"/>
      <c r="C895" s="746"/>
      <c r="D895" s="746"/>
      <c r="E895" s="1143"/>
      <c r="F895" s="1141"/>
      <c r="G895" s="1141"/>
      <c r="H895" s="1141"/>
      <c r="I895" s="1144"/>
      <c r="J895" s="1141"/>
      <c r="K895" s="1141"/>
      <c r="L895" s="1148"/>
    </row>
    <row r="896" spans="1:12" s="1130" customFormat="1">
      <c r="A896" s="746"/>
      <c r="B896" s="746"/>
      <c r="C896" s="746"/>
      <c r="D896" s="746"/>
      <c r="E896" s="1143"/>
      <c r="F896" s="1141"/>
      <c r="G896" s="1141"/>
      <c r="H896" s="1141"/>
      <c r="I896" s="1144"/>
      <c r="J896" s="1141"/>
      <c r="K896" s="1141"/>
      <c r="L896" s="1148"/>
    </row>
    <row r="897" spans="1:12" s="1130" customFormat="1">
      <c r="A897" s="746"/>
      <c r="B897" s="746"/>
      <c r="C897" s="746"/>
      <c r="D897" s="746"/>
      <c r="E897" s="1143"/>
      <c r="F897" s="1141"/>
      <c r="G897" s="1141"/>
      <c r="H897" s="1141"/>
      <c r="I897" s="1144"/>
      <c r="J897" s="1141"/>
      <c r="K897" s="1141"/>
      <c r="L897" s="1148"/>
    </row>
    <row r="898" spans="1:12" s="1130" customFormat="1">
      <c r="A898" s="746"/>
      <c r="B898" s="746"/>
      <c r="C898" s="746"/>
      <c r="D898" s="746"/>
      <c r="E898" s="1143"/>
      <c r="F898" s="1141"/>
      <c r="G898" s="1141"/>
      <c r="H898" s="1141"/>
      <c r="I898" s="1144"/>
      <c r="J898" s="1141"/>
      <c r="K898" s="1141"/>
      <c r="L898" s="1148"/>
    </row>
    <row r="899" spans="1:12" s="1130" customFormat="1">
      <c r="A899" s="746"/>
      <c r="B899" s="746"/>
      <c r="C899" s="746"/>
      <c r="D899" s="746"/>
      <c r="E899" s="1143"/>
      <c r="F899" s="1141"/>
      <c r="G899" s="1141"/>
      <c r="H899" s="1141"/>
      <c r="I899" s="1144"/>
      <c r="J899" s="1141"/>
      <c r="K899" s="1141"/>
      <c r="L899" s="1148"/>
    </row>
    <row r="900" spans="1:12" s="1130" customFormat="1">
      <c r="A900" s="746"/>
      <c r="B900" s="746"/>
      <c r="C900" s="746"/>
      <c r="D900" s="746"/>
      <c r="E900" s="1143"/>
      <c r="F900" s="1141"/>
      <c r="G900" s="1141"/>
      <c r="H900" s="1141"/>
      <c r="I900" s="1144"/>
      <c r="J900" s="1141"/>
      <c r="K900" s="1141"/>
      <c r="L900" s="1148"/>
    </row>
    <row r="901" spans="1:12" s="1130" customFormat="1">
      <c r="A901" s="746"/>
      <c r="B901" s="746"/>
      <c r="C901" s="746"/>
      <c r="D901" s="746"/>
      <c r="E901" s="1143"/>
      <c r="F901" s="1141"/>
      <c r="G901" s="1141"/>
      <c r="H901" s="1141"/>
      <c r="I901" s="1144"/>
      <c r="J901" s="1141"/>
      <c r="K901" s="1141"/>
      <c r="L901" s="1148"/>
    </row>
    <row r="902" spans="1:12" s="1130" customFormat="1">
      <c r="A902" s="746"/>
      <c r="B902" s="746"/>
      <c r="C902" s="746"/>
      <c r="D902" s="746"/>
      <c r="E902" s="1143"/>
      <c r="F902" s="1141"/>
      <c r="G902" s="1141"/>
      <c r="H902" s="1141"/>
      <c r="I902" s="1144"/>
      <c r="J902" s="1141"/>
      <c r="K902" s="1141"/>
      <c r="L902" s="1148"/>
    </row>
    <row r="903" spans="1:12" s="1130" customFormat="1">
      <c r="A903" s="746"/>
      <c r="B903" s="746"/>
      <c r="C903" s="746"/>
      <c r="D903" s="746"/>
      <c r="E903" s="1143"/>
      <c r="F903" s="1141"/>
      <c r="G903" s="1141"/>
      <c r="H903" s="1141"/>
      <c r="I903" s="1144"/>
      <c r="J903" s="1141"/>
      <c r="K903" s="1141"/>
      <c r="L903" s="1148"/>
    </row>
    <row r="904" spans="1:12" s="1130" customFormat="1">
      <c r="A904" s="746"/>
      <c r="B904" s="746"/>
      <c r="C904" s="746"/>
      <c r="D904" s="746"/>
      <c r="E904" s="1143"/>
      <c r="F904" s="1141"/>
      <c r="G904" s="1141"/>
      <c r="H904" s="1141"/>
      <c r="I904" s="1144"/>
      <c r="J904" s="1141"/>
      <c r="K904" s="1141"/>
      <c r="L904" s="1148"/>
    </row>
    <row r="905" spans="1:12" s="1130" customFormat="1">
      <c r="A905" s="746"/>
      <c r="B905" s="746"/>
      <c r="C905" s="746"/>
      <c r="D905" s="746"/>
      <c r="E905" s="1143"/>
      <c r="F905" s="1141"/>
      <c r="G905" s="1141"/>
      <c r="H905" s="1141"/>
      <c r="I905" s="1144"/>
      <c r="J905" s="1141"/>
      <c r="K905" s="1141"/>
      <c r="L905" s="1148"/>
    </row>
    <row r="906" spans="1:12" s="1130" customFormat="1">
      <c r="A906" s="746"/>
      <c r="B906" s="746"/>
      <c r="C906" s="746"/>
      <c r="D906" s="746"/>
      <c r="E906" s="1143"/>
      <c r="F906" s="1141"/>
      <c r="G906" s="1141"/>
      <c r="H906" s="1141"/>
      <c r="I906" s="1144"/>
      <c r="J906" s="1141"/>
      <c r="K906" s="1141"/>
      <c r="L906" s="1148"/>
    </row>
    <row r="907" spans="1:12" s="1130" customFormat="1">
      <c r="A907" s="746"/>
      <c r="B907" s="746"/>
      <c r="C907" s="746"/>
      <c r="D907" s="746"/>
      <c r="E907" s="1143"/>
      <c r="F907" s="1141"/>
      <c r="G907" s="1141"/>
      <c r="H907" s="1141"/>
      <c r="I907" s="1144"/>
      <c r="J907" s="1141"/>
      <c r="K907" s="1141"/>
      <c r="L907" s="1148"/>
    </row>
    <row r="908" spans="1:12" s="1130" customFormat="1">
      <c r="A908" s="746"/>
      <c r="B908" s="746"/>
      <c r="C908" s="746"/>
      <c r="D908" s="746"/>
      <c r="E908" s="1143"/>
      <c r="F908" s="1141"/>
      <c r="G908" s="1141"/>
      <c r="H908" s="1141"/>
      <c r="I908" s="1144"/>
      <c r="J908" s="1141"/>
      <c r="K908" s="1141"/>
      <c r="L908" s="1148"/>
    </row>
    <row r="909" spans="1:12" s="1130" customFormat="1">
      <c r="A909" s="746"/>
      <c r="B909" s="746"/>
      <c r="C909" s="746"/>
      <c r="D909" s="746"/>
      <c r="E909" s="1143"/>
      <c r="F909" s="1141"/>
      <c r="G909" s="1141"/>
      <c r="H909" s="1141"/>
      <c r="I909" s="1144"/>
      <c r="J909" s="1141"/>
      <c r="K909" s="1141"/>
      <c r="L909" s="1148"/>
    </row>
    <row r="910" spans="1:12" s="1130" customFormat="1">
      <c r="A910" s="746"/>
      <c r="B910" s="746"/>
      <c r="C910" s="746"/>
      <c r="D910" s="746"/>
      <c r="E910" s="1143"/>
      <c r="F910" s="1141"/>
      <c r="G910" s="1141"/>
      <c r="H910" s="1141"/>
      <c r="I910" s="1144"/>
      <c r="J910" s="1141"/>
      <c r="K910" s="1141"/>
      <c r="L910" s="1148"/>
    </row>
    <row r="911" spans="1:12" s="1130" customFormat="1">
      <c r="A911" s="746"/>
      <c r="B911" s="746"/>
      <c r="C911" s="746"/>
      <c r="D911" s="746"/>
      <c r="E911" s="1143"/>
      <c r="F911" s="1141"/>
      <c r="G911" s="1141"/>
      <c r="H911" s="1141"/>
      <c r="I911" s="1144"/>
      <c r="J911" s="1141"/>
      <c r="K911" s="1141"/>
      <c r="L911" s="1148"/>
    </row>
    <row r="912" spans="1:12" s="1130" customFormat="1">
      <c r="A912" s="746"/>
      <c r="B912" s="746"/>
      <c r="C912" s="746"/>
      <c r="D912" s="746"/>
      <c r="E912" s="1143"/>
      <c r="F912" s="1141"/>
      <c r="G912" s="1141"/>
      <c r="H912" s="1141"/>
      <c r="I912" s="1144"/>
      <c r="J912" s="1141"/>
      <c r="K912" s="1141"/>
      <c r="L912" s="1148"/>
    </row>
    <row r="913" spans="1:12" s="1130" customFormat="1">
      <c r="A913" s="746"/>
      <c r="B913" s="746"/>
      <c r="C913" s="746"/>
      <c r="D913" s="746"/>
      <c r="E913" s="1143"/>
      <c r="F913" s="1141"/>
      <c r="G913" s="1141"/>
      <c r="H913" s="1141"/>
      <c r="I913" s="1144"/>
      <c r="J913" s="1141"/>
      <c r="K913" s="1141"/>
      <c r="L913" s="1148"/>
    </row>
    <row r="914" spans="1:12" s="1130" customFormat="1">
      <c r="A914" s="746"/>
      <c r="B914" s="746"/>
      <c r="C914" s="746"/>
      <c r="D914" s="746"/>
      <c r="E914" s="1143"/>
      <c r="F914" s="1141"/>
      <c r="G914" s="1141"/>
      <c r="H914" s="1141"/>
      <c r="I914" s="1144"/>
      <c r="J914" s="1141"/>
      <c r="K914" s="1141"/>
      <c r="L914" s="1148"/>
    </row>
    <row r="915" spans="1:12" s="1130" customFormat="1">
      <c r="A915" s="746"/>
      <c r="B915" s="746"/>
      <c r="C915" s="746"/>
      <c r="D915" s="746"/>
      <c r="E915" s="1143"/>
      <c r="F915" s="1141"/>
      <c r="G915" s="1141"/>
      <c r="H915" s="1141"/>
      <c r="I915" s="1144"/>
      <c r="J915" s="1141"/>
      <c r="K915" s="1141"/>
      <c r="L915" s="1148"/>
    </row>
    <row r="916" spans="1:12" s="1130" customFormat="1">
      <c r="A916" s="746"/>
      <c r="B916" s="746"/>
      <c r="C916" s="746"/>
      <c r="D916" s="746"/>
      <c r="E916" s="1143"/>
      <c r="F916" s="1141"/>
      <c r="G916" s="1141"/>
      <c r="H916" s="1141"/>
      <c r="I916" s="1144"/>
      <c r="J916" s="1141"/>
      <c r="K916" s="1141"/>
      <c r="L916" s="1148"/>
    </row>
    <row r="917" spans="1:12" s="1130" customFormat="1">
      <c r="A917" s="746"/>
      <c r="B917" s="746"/>
      <c r="C917" s="746"/>
      <c r="D917" s="746"/>
      <c r="E917" s="1143"/>
      <c r="F917" s="1141"/>
      <c r="G917" s="1141"/>
      <c r="H917" s="1141"/>
      <c r="I917" s="1144"/>
      <c r="J917" s="1141"/>
      <c r="K917" s="1141"/>
      <c r="L917" s="1148"/>
    </row>
    <row r="918" spans="1:12" s="1130" customFormat="1">
      <c r="A918" s="746"/>
      <c r="B918" s="746"/>
      <c r="C918" s="746"/>
      <c r="D918" s="746"/>
      <c r="E918" s="1143"/>
      <c r="F918" s="1141"/>
      <c r="G918" s="1141"/>
      <c r="H918" s="1141"/>
      <c r="I918" s="1144"/>
      <c r="J918" s="1141"/>
      <c r="K918" s="1141"/>
      <c r="L918" s="1148"/>
    </row>
    <row r="919" spans="1:12" s="1130" customFormat="1">
      <c r="A919" s="746"/>
      <c r="B919" s="746"/>
      <c r="C919" s="746"/>
      <c r="D919" s="746"/>
      <c r="E919" s="1143"/>
      <c r="F919" s="1141"/>
      <c r="G919" s="1141"/>
      <c r="H919" s="1141"/>
      <c r="I919" s="1144"/>
      <c r="J919" s="1141"/>
      <c r="K919" s="1141"/>
      <c r="L919" s="1148"/>
    </row>
    <row r="920" spans="1:12" s="1130" customFormat="1">
      <c r="A920" s="746"/>
      <c r="B920" s="746"/>
      <c r="C920" s="746"/>
      <c r="D920" s="746"/>
      <c r="E920" s="1143"/>
      <c r="F920" s="1141"/>
      <c r="G920" s="1141"/>
      <c r="H920" s="1141"/>
      <c r="I920" s="1144"/>
      <c r="J920" s="1141"/>
      <c r="K920" s="1141"/>
      <c r="L920" s="1148"/>
    </row>
    <row r="921" spans="1:12" s="1130" customFormat="1">
      <c r="A921" s="746"/>
      <c r="B921" s="746"/>
      <c r="C921" s="746"/>
      <c r="D921" s="746"/>
      <c r="E921" s="1143"/>
      <c r="F921" s="1141"/>
      <c r="G921" s="1141"/>
      <c r="H921" s="1141"/>
      <c r="I921" s="1144"/>
      <c r="J921" s="1141"/>
      <c r="K921" s="1141"/>
      <c r="L921" s="1148"/>
    </row>
    <row r="922" spans="1:12" s="1130" customFormat="1">
      <c r="A922" s="746"/>
      <c r="B922" s="746"/>
      <c r="C922" s="746"/>
      <c r="D922" s="746"/>
      <c r="E922" s="1143"/>
      <c r="F922" s="1141"/>
      <c r="G922" s="1141"/>
      <c r="H922" s="1141"/>
      <c r="I922" s="1144"/>
      <c r="J922" s="1141"/>
      <c r="K922" s="1141"/>
      <c r="L922" s="1148"/>
    </row>
    <row r="923" spans="1:12" s="1130" customFormat="1">
      <c r="A923" s="746"/>
      <c r="B923" s="746"/>
      <c r="C923" s="746"/>
      <c r="D923" s="746"/>
      <c r="E923" s="1143"/>
      <c r="F923" s="1141"/>
      <c r="G923" s="1141"/>
      <c r="H923" s="1141"/>
      <c r="I923" s="1144"/>
      <c r="J923" s="1141"/>
      <c r="K923" s="1141"/>
      <c r="L923" s="1148"/>
    </row>
    <row r="924" spans="1:12" s="1130" customFormat="1">
      <c r="A924" s="746"/>
      <c r="B924" s="746"/>
      <c r="C924" s="746"/>
      <c r="D924" s="746"/>
      <c r="E924" s="1143"/>
      <c r="F924" s="1141"/>
      <c r="G924" s="1141"/>
      <c r="H924" s="1141"/>
      <c r="I924" s="1144"/>
      <c r="J924" s="1141"/>
      <c r="K924" s="1141"/>
      <c r="L924" s="1148"/>
    </row>
    <row r="925" spans="1:12" s="1130" customFormat="1">
      <c r="A925" s="746"/>
      <c r="B925" s="746"/>
      <c r="C925" s="746"/>
      <c r="D925" s="746"/>
      <c r="E925" s="1143"/>
      <c r="F925" s="1141"/>
      <c r="G925" s="1141"/>
      <c r="H925" s="1141"/>
      <c r="I925" s="1144"/>
      <c r="J925" s="1141"/>
      <c r="K925" s="1141"/>
      <c r="L925" s="1148"/>
    </row>
    <row r="926" spans="1:12" s="1130" customFormat="1">
      <c r="A926" s="746"/>
      <c r="B926" s="746"/>
      <c r="C926" s="746"/>
      <c r="D926" s="746"/>
      <c r="E926" s="1143"/>
      <c r="F926" s="1141"/>
      <c r="G926" s="1141"/>
      <c r="H926" s="1141"/>
      <c r="I926" s="1144"/>
      <c r="J926" s="1141"/>
      <c r="K926" s="1141"/>
      <c r="L926" s="1148"/>
    </row>
    <row r="927" spans="1:12" s="1130" customFormat="1">
      <c r="A927" s="746"/>
      <c r="B927" s="746"/>
      <c r="C927" s="746"/>
      <c r="D927" s="746"/>
      <c r="E927" s="1143"/>
      <c r="F927" s="1141"/>
      <c r="G927" s="1141"/>
      <c r="H927" s="1141"/>
      <c r="I927" s="1144"/>
      <c r="J927" s="1141"/>
      <c r="K927" s="1141"/>
      <c r="L927" s="1148"/>
    </row>
    <row r="928" spans="1:12" s="1130" customFormat="1">
      <c r="A928" s="746"/>
      <c r="B928" s="746"/>
      <c r="C928" s="746"/>
      <c r="D928" s="746"/>
      <c r="E928" s="1143"/>
      <c r="F928" s="1141"/>
      <c r="G928" s="1141"/>
      <c r="H928" s="1141"/>
      <c r="I928" s="1144"/>
      <c r="J928" s="1141"/>
      <c r="K928" s="1141"/>
      <c r="L928" s="1148"/>
    </row>
    <row r="929" spans="1:12" s="1130" customFormat="1">
      <c r="A929" s="746"/>
      <c r="B929" s="746"/>
      <c r="C929" s="746"/>
      <c r="D929" s="746"/>
      <c r="E929" s="1143"/>
      <c r="F929" s="1141"/>
      <c r="G929" s="1141"/>
      <c r="H929" s="1141"/>
      <c r="I929" s="1144"/>
      <c r="J929" s="1141"/>
      <c r="K929" s="1141"/>
      <c r="L929" s="1148"/>
    </row>
    <row r="930" spans="1:12" s="1130" customFormat="1">
      <c r="A930" s="746"/>
      <c r="B930" s="746"/>
      <c r="C930" s="746"/>
      <c r="D930" s="746"/>
      <c r="E930" s="1143"/>
      <c r="F930" s="1141"/>
      <c r="G930" s="1141"/>
      <c r="H930" s="1141"/>
      <c r="I930" s="1144"/>
      <c r="J930" s="1141"/>
      <c r="K930" s="1141"/>
      <c r="L930" s="1148"/>
    </row>
    <row r="931" spans="1:12" s="1130" customFormat="1">
      <c r="A931" s="746"/>
      <c r="B931" s="746"/>
      <c r="C931" s="746"/>
      <c r="D931" s="746"/>
      <c r="E931" s="1143"/>
      <c r="F931" s="1141"/>
      <c r="G931" s="1141"/>
      <c r="H931" s="1141"/>
      <c r="I931" s="1144"/>
      <c r="J931" s="1141"/>
      <c r="K931" s="1141"/>
      <c r="L931" s="1148"/>
    </row>
    <row r="932" spans="1:12" s="1130" customFormat="1">
      <c r="A932" s="746"/>
      <c r="B932" s="746"/>
      <c r="C932" s="746"/>
      <c r="D932" s="746"/>
      <c r="E932" s="1143"/>
      <c r="F932" s="1141"/>
      <c r="G932" s="1141"/>
      <c r="H932" s="1141"/>
      <c r="I932" s="1144"/>
      <c r="J932" s="1141"/>
      <c r="K932" s="1141"/>
      <c r="L932" s="1148"/>
    </row>
    <row r="933" spans="1:12" s="1130" customFormat="1">
      <c r="A933" s="746"/>
      <c r="B933" s="746"/>
      <c r="C933" s="746"/>
      <c r="D933" s="746"/>
      <c r="E933" s="1143"/>
      <c r="F933" s="1141"/>
      <c r="G933" s="1141"/>
      <c r="H933" s="1141"/>
      <c r="I933" s="1144"/>
      <c r="J933" s="1141"/>
      <c r="K933" s="1141"/>
      <c r="L933" s="1148"/>
    </row>
    <row r="934" spans="1:12" s="1130" customFormat="1">
      <c r="A934" s="746"/>
      <c r="B934" s="746"/>
      <c r="C934" s="746"/>
      <c r="D934" s="746"/>
      <c r="E934" s="1143"/>
      <c r="F934" s="1141"/>
      <c r="G934" s="1141"/>
      <c r="H934" s="1141"/>
      <c r="I934" s="1144"/>
      <c r="J934" s="1141"/>
      <c r="K934" s="1141"/>
      <c r="L934" s="1148"/>
    </row>
    <row r="935" spans="1:12" s="1130" customFormat="1">
      <c r="A935" s="746"/>
      <c r="B935" s="746"/>
      <c r="C935" s="746"/>
      <c r="D935" s="746"/>
      <c r="E935" s="1143"/>
      <c r="F935" s="1141"/>
      <c r="G935" s="1141"/>
      <c r="H935" s="1141"/>
      <c r="I935" s="1144"/>
      <c r="J935" s="1141"/>
      <c r="K935" s="1141"/>
      <c r="L935" s="1148"/>
    </row>
    <row r="936" spans="1:12" s="1130" customFormat="1">
      <c r="A936" s="746"/>
      <c r="B936" s="746"/>
      <c r="C936" s="746"/>
      <c r="D936" s="746"/>
      <c r="E936" s="1143"/>
      <c r="F936" s="1141"/>
      <c r="G936" s="1141"/>
      <c r="H936" s="1141"/>
      <c r="I936" s="1144"/>
      <c r="J936" s="1141"/>
      <c r="K936" s="1141"/>
      <c r="L936" s="1148"/>
    </row>
    <row r="937" spans="1:12" s="1130" customFormat="1">
      <c r="A937" s="746"/>
      <c r="B937" s="746"/>
      <c r="C937" s="746"/>
      <c r="D937" s="746"/>
      <c r="E937" s="1143"/>
      <c r="F937" s="1141"/>
      <c r="G937" s="1141"/>
      <c r="H937" s="1141"/>
      <c r="I937" s="1144"/>
      <c r="J937" s="1141"/>
      <c r="K937" s="1141"/>
      <c r="L937" s="1148"/>
    </row>
    <row r="938" spans="1:12" s="1130" customFormat="1">
      <c r="A938" s="746"/>
      <c r="B938" s="746"/>
      <c r="C938" s="746"/>
      <c r="D938" s="746"/>
      <c r="E938" s="1143"/>
      <c r="F938" s="1141"/>
      <c r="G938" s="1141"/>
      <c r="H938" s="1141"/>
      <c r="I938" s="1144"/>
      <c r="J938" s="1141"/>
      <c r="K938" s="1141"/>
      <c r="L938" s="1148"/>
    </row>
    <row r="939" spans="1:12" s="1130" customFormat="1">
      <c r="A939" s="746"/>
      <c r="B939" s="746"/>
      <c r="C939" s="746"/>
      <c r="D939" s="746"/>
      <c r="E939" s="1143"/>
      <c r="F939" s="1141"/>
      <c r="G939" s="1141"/>
      <c r="H939" s="1141"/>
      <c r="I939" s="1144"/>
      <c r="J939" s="1141"/>
      <c r="K939" s="1141"/>
      <c r="L939" s="1148"/>
    </row>
    <row r="940" spans="1:12" s="1130" customFormat="1">
      <c r="A940" s="746"/>
      <c r="B940" s="746"/>
      <c r="C940" s="746"/>
      <c r="D940" s="746"/>
      <c r="E940" s="1143"/>
      <c r="F940" s="1141"/>
      <c r="G940" s="1141"/>
      <c r="H940" s="1141"/>
      <c r="I940" s="1144"/>
      <c r="J940" s="1141"/>
      <c r="K940" s="1141"/>
      <c r="L940" s="1148"/>
    </row>
    <row r="941" spans="1:12" s="1130" customFormat="1">
      <c r="A941" s="746"/>
      <c r="B941" s="746"/>
      <c r="C941" s="746"/>
      <c r="D941" s="746"/>
      <c r="E941" s="1143"/>
      <c r="F941" s="1141"/>
      <c r="G941" s="1141"/>
      <c r="H941" s="1141"/>
      <c r="I941" s="1144"/>
      <c r="J941" s="1141"/>
      <c r="K941" s="1141"/>
      <c r="L941" s="1148"/>
    </row>
    <row r="942" spans="1:12" s="1130" customFormat="1">
      <c r="A942" s="746"/>
      <c r="B942" s="746"/>
      <c r="C942" s="746"/>
      <c r="D942" s="746"/>
      <c r="E942" s="1143"/>
      <c r="F942" s="1141"/>
      <c r="G942" s="1141"/>
      <c r="H942" s="1141"/>
      <c r="I942" s="1144"/>
      <c r="J942" s="1141"/>
      <c r="K942" s="1141"/>
      <c r="L942" s="1148"/>
    </row>
    <row r="943" spans="1:12" s="1130" customFormat="1">
      <c r="A943" s="746"/>
      <c r="B943" s="746"/>
      <c r="C943" s="746"/>
      <c r="D943" s="746"/>
      <c r="E943" s="1143"/>
      <c r="F943" s="1141"/>
      <c r="G943" s="1141"/>
      <c r="H943" s="1141"/>
      <c r="I943" s="1144"/>
      <c r="J943" s="1141"/>
      <c r="K943" s="1141"/>
      <c r="L943" s="1148"/>
    </row>
    <row r="944" spans="1:12" s="1130" customFormat="1">
      <c r="A944" s="746"/>
      <c r="B944" s="746"/>
      <c r="C944" s="746"/>
      <c r="D944" s="746"/>
      <c r="E944" s="1143"/>
      <c r="F944" s="1141"/>
      <c r="G944" s="1141"/>
      <c r="H944" s="1141"/>
      <c r="I944" s="1144"/>
      <c r="J944" s="1141"/>
      <c r="K944" s="1141"/>
      <c r="L944" s="1148"/>
    </row>
    <row r="945" spans="1:12" s="1130" customFormat="1">
      <c r="A945" s="746"/>
      <c r="B945" s="746"/>
      <c r="C945" s="746"/>
      <c r="D945" s="746"/>
      <c r="E945" s="1143"/>
      <c r="F945" s="1141"/>
      <c r="G945" s="1141"/>
      <c r="H945" s="1141"/>
      <c r="I945" s="1144"/>
      <c r="J945" s="1141"/>
      <c r="K945" s="1141"/>
      <c r="L945" s="1148"/>
    </row>
    <row r="946" spans="1:12" s="1130" customFormat="1">
      <c r="A946" s="746"/>
      <c r="B946" s="746"/>
      <c r="C946" s="746"/>
      <c r="D946" s="746"/>
      <c r="E946" s="1143"/>
      <c r="F946" s="1141"/>
      <c r="G946" s="1141"/>
      <c r="H946" s="1141"/>
      <c r="I946" s="1144"/>
      <c r="J946" s="1141"/>
      <c r="K946" s="1141"/>
      <c r="L946" s="1148"/>
    </row>
    <row r="947" spans="1:12" s="1130" customFormat="1">
      <c r="A947" s="746"/>
      <c r="B947" s="746"/>
      <c r="C947" s="746"/>
      <c r="D947" s="746"/>
      <c r="E947" s="1143"/>
      <c r="F947" s="1141"/>
      <c r="G947" s="1141"/>
      <c r="H947" s="1141"/>
      <c r="I947" s="1144"/>
      <c r="J947" s="1141"/>
      <c r="K947" s="1141"/>
      <c r="L947" s="1148"/>
    </row>
    <row r="948" spans="1:12" s="1130" customFormat="1">
      <c r="A948" s="746"/>
      <c r="B948" s="746"/>
      <c r="C948" s="746"/>
      <c r="D948" s="746"/>
      <c r="E948" s="1143"/>
      <c r="F948" s="1141"/>
      <c r="G948" s="1141"/>
      <c r="H948" s="1141"/>
      <c r="I948" s="1144"/>
      <c r="J948" s="1141"/>
      <c r="K948" s="1141"/>
      <c r="L948" s="1148"/>
    </row>
    <row r="949" spans="1:12" s="1130" customFormat="1">
      <c r="A949" s="746"/>
      <c r="B949" s="746"/>
      <c r="C949" s="746"/>
      <c r="D949" s="746"/>
      <c r="E949" s="1143"/>
      <c r="F949" s="1141"/>
      <c r="G949" s="1141"/>
      <c r="H949" s="1141"/>
      <c r="I949" s="1144"/>
      <c r="J949" s="1141"/>
      <c r="K949" s="1141"/>
      <c r="L949" s="1148"/>
    </row>
    <row r="950" spans="1:12" s="1130" customFormat="1">
      <c r="A950" s="746"/>
      <c r="B950" s="746"/>
      <c r="C950" s="746"/>
      <c r="D950" s="746"/>
      <c r="E950" s="1143"/>
      <c r="F950" s="1141"/>
      <c r="G950" s="1141"/>
      <c r="H950" s="1141"/>
      <c r="I950" s="1144"/>
      <c r="J950" s="1141"/>
      <c r="K950" s="1141"/>
      <c r="L950" s="1148"/>
    </row>
    <row r="951" spans="1:12" s="1130" customFormat="1">
      <c r="A951" s="746"/>
      <c r="B951" s="746"/>
      <c r="C951" s="746"/>
      <c r="D951" s="746"/>
      <c r="E951" s="1143"/>
      <c r="F951" s="1141"/>
      <c r="G951" s="1141"/>
      <c r="H951" s="1141"/>
      <c r="I951" s="1144"/>
      <c r="J951" s="1141"/>
      <c r="K951" s="1141"/>
      <c r="L951" s="1148"/>
    </row>
    <row r="952" spans="1:12" s="1130" customFormat="1">
      <c r="A952" s="746"/>
      <c r="B952" s="746"/>
      <c r="C952" s="746"/>
      <c r="D952" s="746"/>
      <c r="E952" s="1143"/>
      <c r="F952" s="1141"/>
      <c r="G952" s="1141"/>
      <c r="H952" s="1141"/>
      <c r="I952" s="1144"/>
      <c r="J952" s="1141"/>
      <c r="K952" s="1141"/>
      <c r="L952" s="1148"/>
    </row>
    <row r="953" spans="1:12" s="1130" customFormat="1">
      <c r="A953" s="746"/>
      <c r="B953" s="746"/>
      <c r="C953" s="746"/>
      <c r="D953" s="746"/>
      <c r="E953" s="1143"/>
      <c r="F953" s="1141"/>
      <c r="G953" s="1141"/>
      <c r="H953" s="1141"/>
      <c r="I953" s="1144"/>
      <c r="J953" s="1141"/>
      <c r="K953" s="1141"/>
      <c r="L953" s="1148"/>
    </row>
    <row r="954" spans="1:12" s="1130" customFormat="1">
      <c r="A954" s="746"/>
      <c r="B954" s="746"/>
      <c r="C954" s="746"/>
      <c r="D954" s="746"/>
      <c r="E954" s="1143"/>
      <c r="F954" s="1141"/>
      <c r="G954" s="1141"/>
      <c r="H954" s="1141"/>
      <c r="I954" s="1144"/>
      <c r="J954" s="1141"/>
      <c r="K954" s="1141"/>
      <c r="L954" s="1148"/>
    </row>
    <row r="955" spans="1:12" s="1130" customFormat="1">
      <c r="A955" s="746"/>
      <c r="B955" s="746"/>
      <c r="C955" s="746"/>
      <c r="D955" s="746"/>
      <c r="E955" s="1143"/>
      <c r="F955" s="1141"/>
      <c r="G955" s="1141"/>
      <c r="H955" s="1141"/>
      <c r="I955" s="1144"/>
      <c r="J955" s="1141"/>
      <c r="K955" s="1141"/>
      <c r="L955" s="1148"/>
    </row>
    <row r="956" spans="1:12" s="1130" customFormat="1">
      <c r="A956" s="746"/>
      <c r="B956" s="746"/>
      <c r="C956" s="746"/>
      <c r="D956" s="746"/>
      <c r="E956" s="1143"/>
      <c r="F956" s="1141"/>
      <c r="G956" s="1141"/>
      <c r="H956" s="1141"/>
      <c r="I956" s="1144"/>
      <c r="J956" s="1141"/>
      <c r="K956" s="1141"/>
      <c r="L956" s="1148"/>
    </row>
    <row r="957" spans="1:12" s="1130" customFormat="1">
      <c r="A957" s="746"/>
      <c r="B957" s="746"/>
      <c r="C957" s="746"/>
      <c r="D957" s="746"/>
      <c r="E957" s="1143"/>
      <c r="F957" s="1141"/>
      <c r="G957" s="1141"/>
      <c r="H957" s="1141"/>
      <c r="I957" s="1144"/>
      <c r="J957" s="1141"/>
      <c r="K957" s="1141"/>
      <c r="L957" s="1148"/>
    </row>
    <row r="958" spans="1:12" s="1130" customFormat="1">
      <c r="A958" s="746"/>
      <c r="B958" s="746"/>
      <c r="C958" s="746"/>
      <c r="D958" s="746"/>
      <c r="E958" s="1143"/>
      <c r="F958" s="1141"/>
      <c r="G958" s="1141"/>
      <c r="H958" s="1141"/>
      <c r="I958" s="1144"/>
      <c r="J958" s="1141"/>
      <c r="K958" s="1141"/>
      <c r="L958" s="1148"/>
    </row>
    <row r="959" spans="1:12" s="1130" customFormat="1">
      <c r="A959" s="746"/>
      <c r="B959" s="746"/>
      <c r="C959" s="746"/>
      <c r="D959" s="746"/>
      <c r="E959" s="1143"/>
      <c r="F959" s="1141"/>
      <c r="G959" s="1141"/>
      <c r="H959" s="1141"/>
      <c r="I959" s="1144"/>
      <c r="J959" s="1141"/>
      <c r="K959" s="1141"/>
      <c r="L959" s="1148"/>
    </row>
    <row r="960" spans="1:12" s="1130" customFormat="1">
      <c r="A960" s="746"/>
      <c r="B960" s="746"/>
      <c r="C960" s="746"/>
      <c r="D960" s="746"/>
      <c r="E960" s="1143"/>
      <c r="F960" s="1141"/>
      <c r="G960" s="1141"/>
      <c r="H960" s="1141"/>
      <c r="I960" s="1144"/>
      <c r="J960" s="1141"/>
      <c r="K960" s="1141"/>
      <c r="L960" s="1148"/>
    </row>
    <row r="961" spans="1:12" s="1130" customFormat="1">
      <c r="A961" s="746"/>
      <c r="B961" s="746"/>
      <c r="C961" s="746"/>
      <c r="D961" s="746"/>
      <c r="E961" s="1143"/>
      <c r="F961" s="1141"/>
      <c r="G961" s="1141"/>
      <c r="H961" s="1141"/>
      <c r="I961" s="1144"/>
      <c r="J961" s="1141"/>
      <c r="K961" s="1141"/>
      <c r="L961" s="1148"/>
    </row>
    <row r="962" spans="1:12" s="1130" customFormat="1">
      <c r="A962" s="746"/>
      <c r="B962" s="746"/>
      <c r="C962" s="746"/>
      <c r="D962" s="746"/>
      <c r="E962" s="1143"/>
      <c r="F962" s="1141"/>
      <c r="G962" s="1141"/>
      <c r="H962" s="1141"/>
      <c r="I962" s="1144"/>
      <c r="J962" s="1141"/>
      <c r="K962" s="1141"/>
      <c r="L962" s="1148"/>
    </row>
    <row r="963" spans="1:12" s="1130" customFormat="1">
      <c r="A963" s="746"/>
      <c r="B963" s="746"/>
      <c r="C963" s="746"/>
      <c r="D963" s="746"/>
      <c r="E963" s="1143"/>
      <c r="F963" s="1141"/>
      <c r="G963" s="1141"/>
      <c r="H963" s="1141"/>
      <c r="I963" s="1144"/>
      <c r="J963" s="1141"/>
      <c r="K963" s="1141"/>
      <c r="L963" s="1148"/>
    </row>
    <row r="964" spans="1:12" s="1130" customFormat="1">
      <c r="A964" s="746"/>
      <c r="B964" s="746"/>
      <c r="C964" s="746"/>
      <c r="D964" s="746"/>
      <c r="E964" s="1143"/>
      <c r="F964" s="1141"/>
      <c r="G964" s="1141"/>
      <c r="H964" s="1141"/>
      <c r="I964" s="1144"/>
      <c r="J964" s="1141"/>
      <c r="K964" s="1141"/>
      <c r="L964" s="1148"/>
    </row>
    <row r="965" spans="1:12" s="1130" customFormat="1">
      <c r="A965" s="746"/>
      <c r="B965" s="746"/>
      <c r="C965" s="746"/>
      <c r="D965" s="746"/>
      <c r="E965" s="1143"/>
      <c r="F965" s="1141"/>
      <c r="G965" s="1141"/>
      <c r="H965" s="1141"/>
      <c r="I965" s="1144"/>
      <c r="J965" s="1141"/>
      <c r="K965" s="1141"/>
      <c r="L965" s="1148"/>
    </row>
    <row r="966" spans="1:12" s="1130" customFormat="1">
      <c r="A966" s="746"/>
      <c r="B966" s="746"/>
      <c r="C966" s="746"/>
      <c r="D966" s="746"/>
      <c r="E966" s="1143"/>
      <c r="F966" s="1141"/>
      <c r="G966" s="1141"/>
      <c r="H966" s="1141"/>
      <c r="I966" s="1144"/>
      <c r="J966" s="1141"/>
      <c r="K966" s="1141"/>
      <c r="L966" s="1148"/>
    </row>
    <row r="967" spans="1:12" s="1130" customFormat="1">
      <c r="A967" s="746"/>
      <c r="B967" s="746"/>
      <c r="C967" s="746"/>
      <c r="D967" s="746"/>
      <c r="E967" s="1143"/>
      <c r="F967" s="1141"/>
      <c r="G967" s="1141"/>
      <c r="H967" s="1141"/>
      <c r="I967" s="1144"/>
      <c r="J967" s="1141"/>
      <c r="K967" s="1141"/>
      <c r="L967" s="1148"/>
    </row>
    <row r="968" spans="1:12" s="1130" customFormat="1">
      <c r="A968" s="746"/>
      <c r="B968" s="746"/>
      <c r="C968" s="746"/>
      <c r="D968" s="746"/>
      <c r="E968" s="1143"/>
      <c r="F968" s="1141"/>
      <c r="G968" s="1141"/>
      <c r="H968" s="1141"/>
      <c r="I968" s="1144"/>
      <c r="J968" s="1141"/>
      <c r="K968" s="1141"/>
      <c r="L968" s="1148"/>
    </row>
    <row r="969" spans="1:12" s="1130" customFormat="1">
      <c r="A969" s="746"/>
      <c r="B969" s="746"/>
      <c r="C969" s="746"/>
      <c r="D969" s="746"/>
      <c r="E969" s="1143"/>
      <c r="F969" s="1141"/>
      <c r="G969" s="1141"/>
      <c r="H969" s="1141"/>
      <c r="I969" s="1144"/>
      <c r="J969" s="1141"/>
      <c r="K969" s="1141"/>
      <c r="L969" s="1148"/>
    </row>
    <row r="970" spans="1:12" s="1130" customFormat="1">
      <c r="A970" s="746"/>
      <c r="B970" s="746"/>
      <c r="C970" s="746"/>
      <c r="D970" s="746"/>
      <c r="E970" s="1143"/>
      <c r="F970" s="1141"/>
      <c r="G970" s="1141"/>
      <c r="H970" s="1141"/>
      <c r="I970" s="1144"/>
      <c r="J970" s="1141"/>
      <c r="K970" s="1141"/>
      <c r="L970" s="1148"/>
    </row>
    <row r="971" spans="1:12" s="1130" customFormat="1">
      <c r="A971" s="746"/>
      <c r="B971" s="746"/>
      <c r="C971" s="746"/>
      <c r="D971" s="746"/>
      <c r="E971" s="1143"/>
      <c r="F971" s="1141"/>
      <c r="G971" s="1141"/>
      <c r="H971" s="1141"/>
      <c r="I971" s="1144"/>
      <c r="J971" s="1141"/>
      <c r="K971" s="1141"/>
      <c r="L971" s="1148"/>
    </row>
    <row r="972" spans="1:12" s="1130" customFormat="1">
      <c r="A972" s="746"/>
      <c r="B972" s="746"/>
      <c r="C972" s="746"/>
      <c r="D972" s="746"/>
      <c r="E972" s="1143"/>
      <c r="F972" s="1141"/>
      <c r="G972" s="1141"/>
      <c r="H972" s="1141"/>
      <c r="I972" s="1144"/>
      <c r="J972" s="1141"/>
      <c r="K972" s="1141"/>
      <c r="L972" s="1148"/>
    </row>
    <row r="973" spans="1:12" s="1130" customFormat="1">
      <c r="A973" s="746"/>
      <c r="B973" s="746"/>
      <c r="C973" s="746"/>
      <c r="D973" s="746"/>
      <c r="E973" s="1143"/>
      <c r="F973" s="1141"/>
      <c r="G973" s="1141"/>
      <c r="H973" s="1141"/>
      <c r="I973" s="1144"/>
      <c r="J973" s="1141"/>
      <c r="K973" s="1141"/>
      <c r="L973" s="1148"/>
    </row>
    <row r="974" spans="1:12" s="1130" customFormat="1">
      <c r="A974" s="746"/>
      <c r="B974" s="746"/>
      <c r="C974" s="746"/>
      <c r="D974" s="746"/>
      <c r="E974" s="1143"/>
      <c r="F974" s="1141"/>
      <c r="G974" s="1141"/>
      <c r="H974" s="1141"/>
      <c r="I974" s="1144"/>
      <c r="J974" s="1141"/>
      <c r="K974" s="1141"/>
      <c r="L974" s="1148"/>
    </row>
    <row r="975" spans="1:12" s="1130" customFormat="1">
      <c r="A975" s="746"/>
      <c r="B975" s="746"/>
      <c r="C975" s="746"/>
      <c r="D975" s="746"/>
      <c r="E975" s="1143"/>
      <c r="F975" s="1141"/>
      <c r="G975" s="1141"/>
      <c r="H975" s="1141"/>
      <c r="I975" s="1144"/>
      <c r="J975" s="1141"/>
      <c r="K975" s="1141"/>
      <c r="L975" s="1148"/>
    </row>
    <row r="976" spans="1:12" s="1130" customFormat="1">
      <c r="A976" s="746"/>
      <c r="B976" s="746"/>
      <c r="C976" s="746"/>
      <c r="D976" s="746"/>
      <c r="E976" s="1143"/>
      <c r="F976" s="1141"/>
      <c r="G976" s="1141"/>
      <c r="H976" s="1141"/>
      <c r="I976" s="1144"/>
      <c r="J976" s="1141"/>
      <c r="K976" s="1141"/>
      <c r="L976" s="1148"/>
    </row>
    <row r="977" spans="1:12" s="1130" customFormat="1">
      <c r="A977" s="746"/>
      <c r="B977" s="746"/>
      <c r="C977" s="746"/>
      <c r="D977" s="746"/>
      <c r="E977" s="1143"/>
      <c r="F977" s="1141"/>
      <c r="G977" s="1141"/>
      <c r="H977" s="1141"/>
      <c r="I977" s="1144"/>
      <c r="J977" s="1141"/>
      <c r="K977" s="1141"/>
      <c r="L977" s="1148"/>
    </row>
    <row r="978" spans="1:12" s="1130" customFormat="1">
      <c r="A978" s="746"/>
      <c r="B978" s="746"/>
      <c r="C978" s="746"/>
      <c r="D978" s="746"/>
      <c r="E978" s="1143"/>
      <c r="F978" s="1141"/>
      <c r="G978" s="1141"/>
      <c r="H978" s="1141"/>
      <c r="I978" s="1144"/>
      <c r="J978" s="1141"/>
      <c r="K978" s="1141"/>
      <c r="L978" s="1148"/>
    </row>
    <row r="979" spans="1:12" s="1130" customFormat="1">
      <c r="A979" s="746"/>
      <c r="B979" s="746"/>
      <c r="C979" s="746"/>
      <c r="D979" s="746"/>
      <c r="E979" s="1143"/>
      <c r="F979" s="1141"/>
      <c r="G979" s="1141"/>
      <c r="H979" s="1141"/>
      <c r="I979" s="1144"/>
      <c r="J979" s="1141"/>
      <c r="K979" s="1141"/>
      <c r="L979" s="1148"/>
    </row>
    <row r="980" spans="1:12" s="1130" customFormat="1">
      <c r="A980" s="746"/>
      <c r="B980" s="746"/>
      <c r="C980" s="746"/>
      <c r="D980" s="746"/>
      <c r="E980" s="1143"/>
      <c r="F980" s="1141"/>
      <c r="G980" s="1141"/>
      <c r="H980" s="1141"/>
      <c r="I980" s="1144"/>
      <c r="J980" s="1141"/>
      <c r="K980" s="1141"/>
      <c r="L980" s="1148"/>
    </row>
    <row r="981" spans="1:12" s="1130" customFormat="1">
      <c r="A981" s="746"/>
      <c r="B981" s="746"/>
      <c r="C981" s="746"/>
      <c r="D981" s="746"/>
      <c r="E981" s="1143"/>
      <c r="F981" s="1141"/>
      <c r="G981" s="1141"/>
      <c r="H981" s="1141"/>
      <c r="I981" s="1144"/>
      <c r="J981" s="1141"/>
      <c r="K981" s="1141"/>
      <c r="L981" s="1148"/>
    </row>
    <row r="982" spans="1:12" s="1130" customFormat="1">
      <c r="A982" s="746"/>
      <c r="B982" s="746"/>
      <c r="C982" s="746"/>
      <c r="D982" s="746"/>
      <c r="E982" s="1143"/>
      <c r="F982" s="1141"/>
      <c r="G982" s="1141"/>
      <c r="H982" s="1141"/>
      <c r="I982" s="1144"/>
      <c r="J982" s="1141"/>
      <c r="K982" s="1141"/>
      <c r="L982" s="1148"/>
    </row>
    <row r="983" spans="1:12" s="1130" customFormat="1">
      <c r="A983" s="746"/>
      <c r="B983" s="746"/>
      <c r="C983" s="746"/>
      <c r="D983" s="746"/>
      <c r="E983" s="1143"/>
      <c r="F983" s="1141"/>
      <c r="G983" s="1141"/>
      <c r="H983" s="1141"/>
      <c r="I983" s="1144"/>
      <c r="J983" s="1141"/>
      <c r="K983" s="1141"/>
      <c r="L983" s="1148"/>
    </row>
    <row r="984" spans="1:12" s="1130" customFormat="1">
      <c r="A984" s="746"/>
      <c r="B984" s="746"/>
      <c r="C984" s="746"/>
      <c r="D984" s="746"/>
      <c r="E984" s="1143"/>
      <c r="F984" s="1141"/>
      <c r="G984" s="1141"/>
      <c r="H984" s="1141"/>
      <c r="I984" s="1144"/>
      <c r="J984" s="1141"/>
      <c r="K984" s="1141"/>
      <c r="L984" s="1148"/>
    </row>
    <row r="985" spans="1:12" s="1130" customFormat="1">
      <c r="A985" s="746"/>
      <c r="B985" s="746"/>
      <c r="C985" s="746"/>
      <c r="D985" s="746"/>
      <c r="E985" s="1143"/>
      <c r="F985" s="1141"/>
      <c r="G985" s="1141"/>
      <c r="H985" s="1141"/>
      <c r="I985" s="1144"/>
      <c r="J985" s="1141"/>
      <c r="K985" s="1141"/>
      <c r="L985" s="1148"/>
    </row>
    <row r="986" spans="1:12" s="1130" customFormat="1">
      <c r="A986" s="746"/>
      <c r="B986" s="746"/>
      <c r="C986" s="746"/>
      <c r="D986" s="746"/>
      <c r="E986" s="1143"/>
      <c r="F986" s="1141"/>
      <c r="G986" s="1141"/>
      <c r="H986" s="1141"/>
      <c r="I986" s="1144"/>
      <c r="J986" s="1141"/>
      <c r="K986" s="1141"/>
      <c r="L986" s="1148"/>
    </row>
    <row r="987" spans="1:12" s="1130" customFormat="1">
      <c r="A987" s="746"/>
      <c r="B987" s="746"/>
      <c r="C987" s="746"/>
      <c r="D987" s="746"/>
      <c r="E987" s="1143"/>
      <c r="F987" s="1141"/>
      <c r="G987" s="1141"/>
      <c r="H987" s="1141"/>
      <c r="I987" s="1144"/>
      <c r="J987" s="1141"/>
      <c r="K987" s="1141"/>
      <c r="L987" s="1148"/>
    </row>
    <row r="988" spans="1:12" s="1130" customFormat="1">
      <c r="A988" s="746"/>
      <c r="B988" s="746"/>
      <c r="C988" s="746"/>
      <c r="D988" s="746"/>
      <c r="E988" s="1143"/>
      <c r="F988" s="1141"/>
      <c r="G988" s="1141"/>
      <c r="H988" s="1141"/>
      <c r="I988" s="1144"/>
      <c r="J988" s="1141"/>
      <c r="K988" s="1141"/>
      <c r="L988" s="1148"/>
    </row>
    <row r="989" spans="1:12" s="1130" customFormat="1">
      <c r="A989" s="746"/>
      <c r="B989" s="746"/>
      <c r="C989" s="746"/>
      <c r="D989" s="746"/>
      <c r="E989" s="1143"/>
      <c r="F989" s="1141"/>
      <c r="G989" s="1141"/>
      <c r="H989" s="1141"/>
      <c r="I989" s="1144"/>
      <c r="J989" s="1141"/>
      <c r="K989" s="1141"/>
      <c r="L989" s="1148"/>
    </row>
    <row r="990" spans="1:12" s="1130" customFormat="1">
      <c r="A990" s="746"/>
      <c r="B990" s="746"/>
      <c r="C990" s="746"/>
      <c r="D990" s="746"/>
      <c r="E990" s="1143"/>
      <c r="F990" s="1141"/>
      <c r="G990" s="1141"/>
      <c r="H990" s="1141"/>
      <c r="I990" s="1144"/>
      <c r="J990" s="1141"/>
      <c r="K990" s="1141"/>
      <c r="L990" s="1148"/>
    </row>
    <row r="991" spans="1:12" s="1130" customFormat="1">
      <c r="A991" s="746"/>
      <c r="B991" s="746"/>
      <c r="C991" s="746"/>
      <c r="D991" s="746"/>
      <c r="E991" s="1143"/>
      <c r="F991" s="1141"/>
      <c r="G991" s="1141"/>
      <c r="H991" s="1141"/>
      <c r="I991" s="1144"/>
      <c r="J991" s="1141"/>
      <c r="K991" s="1141"/>
      <c r="L991" s="1148"/>
    </row>
    <row r="992" spans="1:12" s="1130" customFormat="1">
      <c r="A992" s="746"/>
      <c r="B992" s="746"/>
      <c r="C992" s="746"/>
      <c r="D992" s="746"/>
      <c r="E992" s="1143"/>
      <c r="F992" s="1141"/>
      <c r="G992" s="1141"/>
      <c r="H992" s="1141"/>
      <c r="I992" s="1144"/>
      <c r="J992" s="1141"/>
      <c r="K992" s="1141"/>
      <c r="L992" s="1148"/>
    </row>
    <row r="993" spans="1:12" s="1130" customFormat="1">
      <c r="A993" s="746"/>
      <c r="B993" s="746"/>
      <c r="C993" s="746"/>
      <c r="D993" s="746"/>
      <c r="E993" s="1143"/>
      <c r="F993" s="1141"/>
      <c r="G993" s="1141"/>
      <c r="H993" s="1141"/>
      <c r="I993" s="1144"/>
      <c r="J993" s="1141"/>
      <c r="K993" s="1141"/>
      <c r="L993" s="1148"/>
    </row>
    <row r="994" spans="1:12" s="1130" customFormat="1">
      <c r="A994" s="746"/>
      <c r="B994" s="746"/>
      <c r="C994" s="746"/>
      <c r="D994" s="746"/>
      <c r="E994" s="1143"/>
      <c r="F994" s="1141"/>
      <c r="G994" s="1141"/>
      <c r="H994" s="1141"/>
      <c r="I994" s="1144"/>
      <c r="J994" s="1141"/>
      <c r="K994" s="1141"/>
      <c r="L994" s="1148"/>
    </row>
    <row r="995" spans="1:12" s="1130" customFormat="1">
      <c r="A995" s="746"/>
      <c r="B995" s="746"/>
      <c r="C995" s="746"/>
      <c r="D995" s="746"/>
      <c r="E995" s="1143"/>
      <c r="F995" s="1141"/>
      <c r="G995" s="1141"/>
      <c r="H995" s="1141"/>
      <c r="I995" s="1144"/>
      <c r="J995" s="1141"/>
      <c r="K995" s="1141"/>
      <c r="L995" s="1148"/>
    </row>
    <row r="996" spans="1:12" s="1130" customFormat="1">
      <c r="A996" s="746"/>
      <c r="B996" s="746"/>
      <c r="C996" s="746"/>
      <c r="D996" s="746"/>
      <c r="E996" s="1143"/>
      <c r="F996" s="1141"/>
      <c r="G996" s="1141"/>
      <c r="H996" s="1141"/>
      <c r="I996" s="1144"/>
      <c r="J996" s="1141"/>
      <c r="K996" s="1141"/>
      <c r="L996" s="1148"/>
    </row>
    <row r="997" spans="1:12" s="1130" customFormat="1">
      <c r="A997" s="746"/>
      <c r="B997" s="746"/>
      <c r="C997" s="746"/>
      <c r="D997" s="746"/>
      <c r="E997" s="1143"/>
      <c r="F997" s="1141"/>
      <c r="G997" s="1141"/>
      <c r="H997" s="1141"/>
      <c r="I997" s="1144"/>
      <c r="J997" s="1141"/>
      <c r="K997" s="1141"/>
      <c r="L997" s="1148"/>
    </row>
    <row r="998" spans="1:12" s="1130" customFormat="1">
      <c r="A998" s="746"/>
      <c r="B998" s="746"/>
      <c r="C998" s="746"/>
      <c r="D998" s="746"/>
      <c r="E998" s="1143"/>
      <c r="F998" s="1141"/>
      <c r="G998" s="1141"/>
      <c r="H998" s="1141"/>
      <c r="I998" s="1144"/>
      <c r="J998" s="1141"/>
      <c r="K998" s="1141"/>
      <c r="L998" s="1148"/>
    </row>
    <row r="999" spans="1:12" s="1130" customFormat="1">
      <c r="A999" s="746"/>
      <c r="B999" s="746"/>
      <c r="C999" s="746"/>
      <c r="D999" s="746"/>
      <c r="E999" s="1143"/>
      <c r="F999" s="1141"/>
      <c r="G999" s="1141"/>
      <c r="H999" s="1141"/>
      <c r="I999" s="1144"/>
      <c r="J999" s="1141"/>
      <c r="K999" s="1141"/>
      <c r="L999" s="1148"/>
    </row>
    <row r="1000" spans="1:12" s="1130" customFormat="1">
      <c r="A1000" s="746"/>
      <c r="B1000" s="746"/>
      <c r="C1000" s="746"/>
      <c r="D1000" s="746"/>
      <c r="E1000" s="1143"/>
      <c r="F1000" s="1141"/>
      <c r="G1000" s="1141"/>
      <c r="H1000" s="1141"/>
      <c r="I1000" s="1144"/>
      <c r="J1000" s="1141"/>
      <c r="K1000" s="1141"/>
      <c r="L1000" s="1148"/>
    </row>
    <row r="1001" spans="1:12" s="1130" customFormat="1">
      <c r="A1001" s="746"/>
      <c r="B1001" s="746"/>
      <c r="C1001" s="746"/>
      <c r="D1001" s="746"/>
      <c r="E1001" s="1143"/>
      <c r="F1001" s="1141"/>
      <c r="G1001" s="1141"/>
      <c r="H1001" s="1141"/>
      <c r="I1001" s="1144"/>
      <c r="J1001" s="1141"/>
      <c r="K1001" s="1141"/>
      <c r="L1001" s="1148"/>
    </row>
    <row r="1002" spans="1:12" s="1130" customFormat="1">
      <c r="A1002" s="746"/>
      <c r="B1002" s="746"/>
      <c r="C1002" s="746"/>
      <c r="D1002" s="746"/>
      <c r="E1002" s="1143"/>
      <c r="F1002" s="1141"/>
      <c r="G1002" s="1141"/>
      <c r="H1002" s="1141"/>
      <c r="I1002" s="1144"/>
      <c r="J1002" s="1141"/>
      <c r="K1002" s="1141"/>
      <c r="L1002" s="1148"/>
    </row>
    <row r="1003" spans="1:12" s="1130" customFormat="1">
      <c r="A1003" s="746"/>
      <c r="B1003" s="746"/>
      <c r="C1003" s="746"/>
      <c r="D1003" s="746"/>
      <c r="E1003" s="1143"/>
      <c r="F1003" s="1141"/>
      <c r="G1003" s="1141"/>
      <c r="H1003" s="1141"/>
      <c r="I1003" s="1144"/>
      <c r="J1003" s="1141"/>
      <c r="K1003" s="1141"/>
      <c r="L1003" s="1148"/>
    </row>
    <row r="1004" spans="1:12" s="1130" customFormat="1">
      <c r="A1004" s="746"/>
      <c r="B1004" s="746"/>
      <c r="C1004" s="746"/>
      <c r="D1004" s="746"/>
      <c r="E1004" s="1143"/>
      <c r="F1004" s="1141"/>
      <c r="G1004" s="1141"/>
      <c r="H1004" s="1141"/>
      <c r="I1004" s="1144"/>
      <c r="J1004" s="1141"/>
      <c r="K1004" s="1141"/>
      <c r="L1004" s="1148"/>
    </row>
    <row r="1005" spans="1:12" s="1130" customFormat="1">
      <c r="A1005" s="746"/>
      <c r="B1005" s="746"/>
      <c r="C1005" s="746"/>
      <c r="D1005" s="746"/>
      <c r="E1005" s="1143"/>
      <c r="F1005" s="1141"/>
      <c r="G1005" s="1141"/>
      <c r="H1005" s="1141"/>
      <c r="I1005" s="1144"/>
      <c r="J1005" s="1141"/>
      <c r="K1005" s="1141"/>
      <c r="L1005" s="1148"/>
    </row>
    <row r="1006" spans="1:12" s="1130" customFormat="1">
      <c r="A1006" s="746"/>
      <c r="B1006" s="746"/>
      <c r="C1006" s="746"/>
      <c r="D1006" s="746"/>
      <c r="E1006" s="1143"/>
      <c r="F1006" s="1141"/>
      <c r="G1006" s="1141"/>
      <c r="H1006" s="1141"/>
      <c r="I1006" s="1144"/>
      <c r="J1006" s="1141"/>
      <c r="K1006" s="1141"/>
      <c r="L1006" s="1148"/>
    </row>
    <row r="1007" spans="1:12" s="1130" customFormat="1">
      <c r="A1007" s="746"/>
      <c r="B1007" s="746"/>
      <c r="C1007" s="746"/>
      <c r="D1007" s="746"/>
      <c r="E1007" s="1143"/>
      <c r="F1007" s="1141"/>
      <c r="G1007" s="1141"/>
      <c r="H1007" s="1141"/>
      <c r="I1007" s="1144"/>
      <c r="J1007" s="1141"/>
      <c r="K1007" s="1141"/>
      <c r="L1007" s="1148"/>
    </row>
    <row r="1008" spans="1:12" s="1130" customFormat="1">
      <c r="A1008" s="746"/>
      <c r="B1008" s="746"/>
      <c r="C1008" s="746"/>
      <c r="D1008" s="746"/>
      <c r="E1008" s="1143"/>
      <c r="F1008" s="1141"/>
      <c r="G1008" s="1141"/>
      <c r="H1008" s="1141"/>
      <c r="I1008" s="1144"/>
      <c r="J1008" s="1141"/>
      <c r="K1008" s="1141"/>
      <c r="L1008" s="1148"/>
    </row>
    <row r="1009" spans="1:12" s="1130" customFormat="1">
      <c r="A1009" s="746"/>
      <c r="B1009" s="746"/>
      <c r="C1009" s="746"/>
      <c r="D1009" s="746"/>
      <c r="E1009" s="1143"/>
      <c r="F1009" s="1141"/>
      <c r="G1009" s="1141"/>
      <c r="H1009" s="1141"/>
      <c r="I1009" s="1144"/>
      <c r="J1009" s="1141"/>
      <c r="K1009" s="1141"/>
      <c r="L1009" s="1148"/>
    </row>
    <row r="1010" spans="1:12" s="1130" customFormat="1">
      <c r="A1010" s="746"/>
      <c r="B1010" s="746"/>
      <c r="C1010" s="746"/>
      <c r="D1010" s="746"/>
      <c r="E1010" s="1143"/>
      <c r="F1010" s="1141"/>
      <c r="G1010" s="1141"/>
      <c r="H1010" s="1141"/>
      <c r="I1010" s="1144"/>
      <c r="J1010" s="1141"/>
      <c r="K1010" s="1141"/>
      <c r="L1010" s="1148"/>
    </row>
    <row r="1011" spans="1:12" s="1130" customFormat="1">
      <c r="A1011" s="746"/>
      <c r="B1011" s="746"/>
      <c r="C1011" s="746"/>
      <c r="D1011" s="746"/>
      <c r="E1011" s="1143"/>
      <c r="F1011" s="1141"/>
      <c r="G1011" s="1141"/>
      <c r="H1011" s="1141"/>
      <c r="I1011" s="1144"/>
      <c r="J1011" s="1141"/>
      <c r="K1011" s="1141"/>
      <c r="L1011" s="1148"/>
    </row>
    <row r="1012" spans="1:12" s="1130" customFormat="1">
      <c r="A1012" s="746"/>
      <c r="B1012" s="746"/>
      <c r="C1012" s="746"/>
      <c r="D1012" s="746"/>
      <c r="E1012" s="1143"/>
      <c r="F1012" s="1141"/>
      <c r="G1012" s="1141"/>
      <c r="H1012" s="1141"/>
      <c r="I1012" s="1144"/>
      <c r="J1012" s="1141"/>
      <c r="K1012" s="1141"/>
      <c r="L1012" s="1148"/>
    </row>
    <row r="1013" spans="1:12" s="1130" customFormat="1">
      <c r="A1013" s="746"/>
      <c r="B1013" s="746"/>
      <c r="C1013" s="746"/>
      <c r="D1013" s="746"/>
      <c r="E1013" s="1143"/>
      <c r="F1013" s="1141"/>
      <c r="G1013" s="1141"/>
      <c r="H1013" s="1141"/>
      <c r="I1013" s="1144"/>
      <c r="J1013" s="1141"/>
      <c r="K1013" s="1141"/>
      <c r="L1013" s="1148"/>
    </row>
    <row r="1014" spans="1:12" s="1130" customFormat="1">
      <c r="A1014" s="746"/>
      <c r="B1014" s="746"/>
      <c r="C1014" s="746"/>
      <c r="D1014" s="746"/>
      <c r="E1014" s="1143"/>
      <c r="F1014" s="1141"/>
      <c r="G1014" s="1141"/>
      <c r="H1014" s="1141"/>
      <c r="I1014" s="1144"/>
      <c r="J1014" s="1141"/>
      <c r="K1014" s="1141"/>
      <c r="L1014" s="1148"/>
    </row>
    <row r="1015" spans="1:12" s="1130" customFormat="1">
      <c r="A1015" s="746"/>
      <c r="B1015" s="746"/>
      <c r="C1015" s="746"/>
      <c r="D1015" s="746"/>
      <c r="E1015" s="1143"/>
      <c r="F1015" s="1141"/>
      <c r="G1015" s="1141"/>
      <c r="H1015" s="1141"/>
      <c r="I1015" s="1144"/>
      <c r="J1015" s="1141"/>
      <c r="K1015" s="1141"/>
      <c r="L1015" s="1148"/>
    </row>
    <row r="1016" spans="1:12" s="1130" customFormat="1">
      <c r="A1016" s="746"/>
      <c r="B1016" s="746"/>
      <c r="C1016" s="746"/>
      <c r="D1016" s="746"/>
      <c r="E1016" s="1143"/>
      <c r="F1016" s="1141"/>
      <c r="G1016" s="1141"/>
      <c r="H1016" s="1141"/>
      <c r="I1016" s="1144"/>
      <c r="J1016" s="1141"/>
      <c r="K1016" s="1141"/>
      <c r="L1016" s="1148"/>
    </row>
    <row r="1017" spans="1:12" s="1130" customFormat="1">
      <c r="A1017" s="746"/>
      <c r="B1017" s="746"/>
      <c r="C1017" s="746"/>
      <c r="D1017" s="746"/>
      <c r="E1017" s="1143"/>
      <c r="F1017" s="1141"/>
      <c r="G1017" s="1141"/>
      <c r="H1017" s="1141"/>
      <c r="I1017" s="1144"/>
      <c r="J1017" s="1141"/>
      <c r="K1017" s="1141"/>
      <c r="L1017" s="1148"/>
    </row>
    <row r="1018" spans="1:12" s="1130" customFormat="1">
      <c r="A1018" s="746"/>
      <c r="B1018" s="746"/>
      <c r="C1018" s="746"/>
      <c r="D1018" s="746"/>
      <c r="E1018" s="1143"/>
      <c r="F1018" s="1141"/>
      <c r="G1018" s="1141"/>
      <c r="H1018" s="1141"/>
      <c r="I1018" s="1144"/>
      <c r="J1018" s="1141"/>
      <c r="K1018" s="1141"/>
      <c r="L1018" s="1148"/>
    </row>
    <row r="1019" spans="1:12" s="1130" customFormat="1">
      <c r="A1019" s="746"/>
      <c r="B1019" s="746"/>
      <c r="C1019" s="746"/>
      <c r="D1019" s="746"/>
      <c r="E1019" s="1143"/>
      <c r="F1019" s="1141"/>
      <c r="G1019" s="1141"/>
      <c r="H1019" s="1141"/>
      <c r="I1019" s="1144"/>
      <c r="J1019" s="1141"/>
      <c r="K1019" s="1141"/>
      <c r="L1019" s="1148"/>
    </row>
    <row r="1020" spans="1:12" s="1130" customFormat="1">
      <c r="A1020" s="746"/>
      <c r="B1020" s="746"/>
      <c r="C1020" s="746"/>
      <c r="D1020" s="746"/>
      <c r="E1020" s="1143"/>
      <c r="F1020" s="1141"/>
      <c r="G1020" s="1141"/>
      <c r="H1020" s="1141"/>
      <c r="I1020" s="1144"/>
      <c r="J1020" s="1141"/>
      <c r="K1020" s="1141"/>
      <c r="L1020" s="1148"/>
    </row>
    <row r="1021" spans="1:12" s="1130" customFormat="1">
      <c r="A1021" s="746"/>
      <c r="B1021" s="746"/>
      <c r="C1021" s="746"/>
      <c r="D1021" s="746"/>
      <c r="E1021" s="1143"/>
      <c r="F1021" s="1141"/>
      <c r="G1021" s="1141"/>
      <c r="H1021" s="1141"/>
      <c r="I1021" s="1144"/>
      <c r="J1021" s="1141"/>
      <c r="K1021" s="1141"/>
      <c r="L1021" s="1148"/>
    </row>
    <row r="1022" spans="1:12" s="1130" customFormat="1">
      <c r="A1022" s="746"/>
      <c r="B1022" s="746"/>
      <c r="C1022" s="746"/>
      <c r="D1022" s="746"/>
      <c r="E1022" s="1143"/>
      <c r="F1022" s="1141"/>
      <c r="G1022" s="1141"/>
      <c r="H1022" s="1141"/>
      <c r="I1022" s="1144"/>
      <c r="J1022" s="1141"/>
      <c r="K1022" s="1141"/>
      <c r="L1022" s="1148"/>
    </row>
    <row r="1023" spans="1:12" s="1130" customFormat="1">
      <c r="A1023" s="746"/>
      <c r="B1023" s="746"/>
      <c r="C1023" s="746"/>
      <c r="D1023" s="746"/>
      <c r="E1023" s="1143"/>
      <c r="F1023" s="1141"/>
      <c r="G1023" s="1141"/>
      <c r="H1023" s="1141"/>
      <c r="I1023" s="1144"/>
      <c r="J1023" s="1141"/>
      <c r="K1023" s="1141"/>
      <c r="L1023" s="1148"/>
    </row>
    <row r="1024" spans="1:12" s="1130" customFormat="1">
      <c r="A1024" s="746"/>
      <c r="B1024" s="746"/>
      <c r="C1024" s="746"/>
      <c r="D1024" s="746"/>
      <c r="E1024" s="1143"/>
      <c r="F1024" s="1141"/>
      <c r="G1024" s="1141"/>
      <c r="H1024" s="1141"/>
      <c r="I1024" s="1144"/>
      <c r="J1024" s="1141"/>
      <c r="K1024" s="1141"/>
      <c r="L1024" s="1148"/>
    </row>
    <row r="1025" spans="1:12" s="1130" customFormat="1">
      <c r="A1025" s="746"/>
      <c r="B1025" s="746"/>
      <c r="C1025" s="746"/>
      <c r="D1025" s="746"/>
      <c r="E1025" s="1143"/>
      <c r="F1025" s="1141"/>
      <c r="G1025" s="1141"/>
      <c r="H1025" s="1141"/>
      <c r="I1025" s="1144"/>
      <c r="J1025" s="1141"/>
      <c r="K1025" s="1141"/>
      <c r="L1025" s="1148"/>
    </row>
    <row r="1026" spans="1:12" s="1130" customFormat="1">
      <c r="A1026" s="746"/>
      <c r="B1026" s="746"/>
      <c r="C1026" s="746"/>
      <c r="D1026" s="746"/>
      <c r="E1026" s="1143"/>
      <c r="F1026" s="1141"/>
      <c r="G1026" s="1141"/>
      <c r="H1026" s="1141"/>
      <c r="I1026" s="1144"/>
      <c r="J1026" s="1141"/>
      <c r="K1026" s="1141"/>
      <c r="L1026" s="1148"/>
    </row>
    <row r="1027" spans="1:12" s="1130" customFormat="1">
      <c r="A1027" s="746"/>
      <c r="B1027" s="746"/>
      <c r="C1027" s="746"/>
      <c r="D1027" s="746"/>
      <c r="E1027" s="1143"/>
      <c r="F1027" s="1141"/>
      <c r="G1027" s="1141"/>
      <c r="H1027" s="1141"/>
      <c r="I1027" s="1144"/>
      <c r="J1027" s="1141"/>
      <c r="K1027" s="1141"/>
      <c r="L1027" s="1148"/>
    </row>
    <row r="1028" spans="1:12" s="1130" customFormat="1">
      <c r="A1028" s="746"/>
      <c r="B1028" s="746"/>
      <c r="C1028" s="746"/>
      <c r="D1028" s="746"/>
      <c r="E1028" s="1143"/>
      <c r="F1028" s="1141"/>
      <c r="G1028" s="1141"/>
      <c r="H1028" s="1141"/>
      <c r="I1028" s="1144"/>
      <c r="J1028" s="1141"/>
      <c r="K1028" s="1141"/>
      <c r="L1028" s="1148"/>
    </row>
    <row r="1029" spans="1:12" s="1130" customFormat="1">
      <c r="A1029" s="746"/>
      <c r="B1029" s="746"/>
      <c r="C1029" s="746"/>
      <c r="D1029" s="746"/>
      <c r="E1029" s="1143"/>
      <c r="F1029" s="1141"/>
      <c r="G1029" s="1141"/>
      <c r="H1029" s="1141"/>
      <c r="I1029" s="1144"/>
      <c r="J1029" s="1141"/>
      <c r="K1029" s="1141"/>
      <c r="L1029" s="1148"/>
    </row>
    <row r="1030" spans="1:12" s="1130" customFormat="1">
      <c r="A1030" s="746"/>
      <c r="B1030" s="746"/>
      <c r="C1030" s="746"/>
      <c r="D1030" s="746"/>
      <c r="E1030" s="1143"/>
      <c r="F1030" s="1141"/>
      <c r="G1030" s="1141"/>
      <c r="H1030" s="1141"/>
      <c r="I1030" s="1144"/>
      <c r="J1030" s="1141"/>
      <c r="K1030" s="1141"/>
      <c r="L1030" s="1148"/>
    </row>
    <row r="1031" spans="1:12" s="1130" customFormat="1">
      <c r="A1031" s="746"/>
      <c r="B1031" s="746"/>
      <c r="C1031" s="746"/>
      <c r="D1031" s="746"/>
      <c r="E1031" s="1143"/>
      <c r="F1031" s="1141"/>
      <c r="G1031" s="1141"/>
      <c r="H1031" s="1141"/>
      <c r="I1031" s="1144"/>
      <c r="J1031" s="1141"/>
      <c r="K1031" s="1141"/>
      <c r="L1031" s="1148"/>
    </row>
    <row r="1032" spans="1:12" s="1130" customFormat="1">
      <c r="A1032" s="746"/>
      <c r="B1032" s="746"/>
      <c r="C1032" s="746"/>
      <c r="D1032" s="746"/>
      <c r="E1032" s="1143"/>
      <c r="F1032" s="1141"/>
      <c r="G1032" s="1141"/>
      <c r="H1032" s="1141"/>
      <c r="I1032" s="1144"/>
      <c r="J1032" s="1141"/>
      <c r="K1032" s="1141"/>
      <c r="L1032" s="1148"/>
    </row>
    <row r="1033" spans="1:12" s="1130" customFormat="1">
      <c r="A1033" s="746"/>
      <c r="B1033" s="746"/>
      <c r="C1033" s="746"/>
      <c r="D1033" s="746"/>
      <c r="E1033" s="1143"/>
      <c r="F1033" s="1141"/>
      <c r="G1033" s="1141"/>
      <c r="H1033" s="1141"/>
      <c r="I1033" s="1144"/>
      <c r="J1033" s="1141"/>
      <c r="K1033" s="1141"/>
      <c r="L1033" s="1148"/>
    </row>
    <row r="1034" spans="1:12" s="1130" customFormat="1">
      <c r="A1034" s="746"/>
      <c r="B1034" s="746"/>
      <c r="C1034" s="746"/>
      <c r="D1034" s="746"/>
      <c r="E1034" s="1143"/>
      <c r="F1034" s="1141"/>
      <c r="G1034" s="1141"/>
      <c r="H1034" s="1141"/>
      <c r="I1034" s="1144"/>
      <c r="J1034" s="1141"/>
      <c r="K1034" s="1141"/>
      <c r="L1034" s="1148"/>
    </row>
    <row r="1035" spans="1:12" s="1130" customFormat="1">
      <c r="A1035" s="746"/>
      <c r="B1035" s="746"/>
      <c r="C1035" s="746"/>
      <c r="D1035" s="746"/>
      <c r="E1035" s="1143"/>
      <c r="F1035" s="1141"/>
      <c r="G1035" s="1141"/>
      <c r="H1035" s="1141"/>
      <c r="I1035" s="1144"/>
      <c r="J1035" s="1141"/>
      <c r="K1035" s="1141"/>
      <c r="L1035" s="1148"/>
    </row>
    <row r="1036" spans="1:12" s="1130" customFormat="1">
      <c r="A1036" s="746"/>
      <c r="B1036" s="746"/>
      <c r="C1036" s="746"/>
      <c r="D1036" s="746"/>
      <c r="E1036" s="1143"/>
      <c r="F1036" s="1141"/>
      <c r="G1036" s="1141"/>
      <c r="H1036" s="1141"/>
      <c r="I1036" s="1144"/>
      <c r="J1036" s="1141"/>
      <c r="K1036" s="1141"/>
      <c r="L1036" s="1148"/>
    </row>
    <row r="1037" spans="1:12" s="1130" customFormat="1">
      <c r="A1037" s="746"/>
      <c r="B1037" s="746"/>
      <c r="C1037" s="746"/>
      <c r="D1037" s="746"/>
      <c r="E1037" s="1143"/>
      <c r="F1037" s="1141"/>
      <c r="G1037" s="1141"/>
      <c r="H1037" s="1141"/>
      <c r="I1037" s="1144"/>
      <c r="J1037" s="1141"/>
      <c r="K1037" s="1141"/>
      <c r="L1037" s="1148"/>
    </row>
    <row r="1038" spans="1:12" s="1130" customFormat="1">
      <c r="A1038" s="746"/>
      <c r="B1038" s="746"/>
      <c r="C1038" s="746"/>
      <c r="D1038" s="746"/>
      <c r="E1038" s="1143"/>
      <c r="F1038" s="1141"/>
      <c r="G1038" s="1141"/>
      <c r="H1038" s="1141"/>
      <c r="I1038" s="1144"/>
      <c r="J1038" s="1141"/>
      <c r="K1038" s="1141"/>
      <c r="L1038" s="1148"/>
    </row>
    <row r="1039" spans="1:12" s="1130" customFormat="1">
      <c r="A1039" s="746"/>
      <c r="B1039" s="746"/>
      <c r="C1039" s="746"/>
      <c r="D1039" s="746"/>
      <c r="E1039" s="1143"/>
      <c r="F1039" s="1141"/>
      <c r="G1039" s="1141"/>
      <c r="H1039" s="1141"/>
      <c r="I1039" s="1144"/>
      <c r="J1039" s="1141"/>
      <c r="K1039" s="1141"/>
      <c r="L1039" s="1148"/>
    </row>
    <row r="1040" spans="1:12" s="1130" customFormat="1">
      <c r="A1040" s="746"/>
      <c r="B1040" s="746"/>
      <c r="C1040" s="746"/>
      <c r="D1040" s="746"/>
      <c r="E1040" s="1143"/>
      <c r="F1040" s="1141"/>
      <c r="G1040" s="1141"/>
      <c r="H1040" s="1141"/>
      <c r="I1040" s="1144"/>
      <c r="J1040" s="1141"/>
      <c r="K1040" s="1141"/>
      <c r="L1040" s="1148"/>
    </row>
    <row r="1041" spans="1:12" s="1130" customFormat="1">
      <c r="A1041" s="746"/>
      <c r="B1041" s="746"/>
      <c r="C1041" s="746"/>
      <c r="D1041" s="746"/>
      <c r="E1041" s="1143"/>
      <c r="F1041" s="1141"/>
      <c r="G1041" s="1141"/>
      <c r="H1041" s="1141"/>
      <c r="I1041" s="1144"/>
      <c r="J1041" s="1141"/>
      <c r="K1041" s="1141"/>
      <c r="L1041" s="1148"/>
    </row>
    <row r="1042" spans="1:12" s="1130" customFormat="1">
      <c r="A1042" s="746"/>
      <c r="B1042" s="746"/>
      <c r="C1042" s="746"/>
      <c r="D1042" s="746"/>
      <c r="E1042" s="1143"/>
      <c r="F1042" s="1141"/>
      <c r="G1042" s="1141"/>
      <c r="H1042" s="1141"/>
      <c r="I1042" s="1144"/>
      <c r="J1042" s="1141"/>
      <c r="K1042" s="1141"/>
      <c r="L1042" s="1148"/>
    </row>
    <row r="1043" spans="1:12" s="1130" customFormat="1">
      <c r="A1043" s="746"/>
      <c r="B1043" s="746"/>
      <c r="C1043" s="746"/>
      <c r="D1043" s="746"/>
      <c r="E1043" s="1143"/>
      <c r="F1043" s="1141"/>
      <c r="G1043" s="1141"/>
      <c r="H1043" s="1141"/>
      <c r="I1043" s="1144"/>
      <c r="J1043" s="1141"/>
      <c r="K1043" s="1141"/>
      <c r="L1043" s="1148"/>
    </row>
    <row r="1044" spans="1:12" s="1130" customFormat="1">
      <c r="A1044" s="746"/>
      <c r="B1044" s="746"/>
      <c r="C1044" s="746"/>
      <c r="D1044" s="746"/>
      <c r="E1044" s="1143"/>
      <c r="F1044" s="1141"/>
      <c r="G1044" s="1141"/>
      <c r="H1044" s="1141"/>
      <c r="I1044" s="1144"/>
      <c r="J1044" s="1141"/>
      <c r="K1044" s="1141"/>
      <c r="L1044" s="1148"/>
    </row>
    <row r="1045" spans="1:12" s="1130" customFormat="1">
      <c r="A1045" s="746"/>
      <c r="B1045" s="746"/>
      <c r="C1045" s="746"/>
      <c r="D1045" s="746"/>
      <c r="E1045" s="1143"/>
      <c r="F1045" s="1141"/>
      <c r="G1045" s="1141"/>
      <c r="H1045" s="1141"/>
      <c r="I1045" s="1144"/>
      <c r="J1045" s="1141"/>
      <c r="K1045" s="1141"/>
      <c r="L1045" s="1148"/>
    </row>
    <row r="1046" spans="1:12" s="1130" customFormat="1">
      <c r="A1046" s="746"/>
      <c r="B1046" s="746"/>
      <c r="C1046" s="746"/>
      <c r="D1046" s="746"/>
      <c r="E1046" s="1143"/>
      <c r="F1046" s="1141"/>
      <c r="G1046" s="1141"/>
      <c r="H1046" s="1141"/>
      <c r="I1046" s="1144"/>
      <c r="J1046" s="1141"/>
      <c r="K1046" s="1141"/>
      <c r="L1046" s="1148"/>
    </row>
    <row r="1047" spans="1:12" s="1130" customFormat="1">
      <c r="A1047" s="746"/>
      <c r="B1047" s="746"/>
      <c r="C1047" s="746"/>
      <c r="D1047" s="746"/>
      <c r="E1047" s="1143"/>
      <c r="F1047" s="1141"/>
      <c r="G1047" s="1141"/>
      <c r="H1047" s="1141"/>
      <c r="I1047" s="1144"/>
      <c r="J1047" s="1141"/>
      <c r="K1047" s="1141"/>
      <c r="L1047" s="1148"/>
    </row>
    <row r="1048" spans="1:12" s="1130" customFormat="1">
      <c r="A1048" s="746"/>
      <c r="B1048" s="746"/>
      <c r="C1048" s="746"/>
      <c r="D1048" s="746"/>
      <c r="E1048" s="1143"/>
      <c r="F1048" s="1141"/>
      <c r="G1048" s="1141"/>
      <c r="H1048" s="1141"/>
      <c r="I1048" s="1144"/>
      <c r="J1048" s="1141"/>
      <c r="K1048" s="1141"/>
      <c r="L1048" s="1148"/>
    </row>
    <row r="1049" spans="1:12" s="1130" customFormat="1">
      <c r="A1049" s="746"/>
      <c r="B1049" s="746"/>
      <c r="C1049" s="746"/>
      <c r="D1049" s="746"/>
      <c r="E1049" s="1143"/>
      <c r="F1049" s="1141"/>
      <c r="G1049" s="1141"/>
      <c r="H1049" s="1141"/>
      <c r="I1049" s="1144"/>
      <c r="J1049" s="1141"/>
      <c r="K1049" s="1141"/>
      <c r="L1049" s="1148"/>
    </row>
    <row r="1050" spans="1:12" s="1130" customFormat="1">
      <c r="A1050" s="746"/>
      <c r="B1050" s="746"/>
      <c r="C1050" s="746"/>
      <c r="D1050" s="746"/>
      <c r="E1050" s="1143"/>
      <c r="F1050" s="1141"/>
      <c r="G1050" s="1141"/>
      <c r="H1050" s="1141"/>
      <c r="I1050" s="1144"/>
      <c r="J1050" s="1141"/>
      <c r="K1050" s="1141"/>
      <c r="L1050" s="1148"/>
    </row>
    <row r="1051" spans="1:12" s="1130" customFormat="1">
      <c r="A1051" s="746"/>
      <c r="B1051" s="746"/>
      <c r="C1051" s="746"/>
      <c r="D1051" s="746"/>
      <c r="E1051" s="1143"/>
      <c r="F1051" s="1141"/>
      <c r="G1051" s="1141"/>
      <c r="H1051" s="1141"/>
      <c r="I1051" s="1144"/>
      <c r="J1051" s="1141"/>
      <c r="K1051" s="1141"/>
      <c r="L1051" s="1148"/>
    </row>
    <row r="1052" spans="1:12" s="1130" customFormat="1">
      <c r="A1052" s="746"/>
      <c r="B1052" s="746"/>
      <c r="C1052" s="746"/>
      <c r="D1052" s="746"/>
      <c r="E1052" s="1143"/>
      <c r="F1052" s="1141"/>
      <c r="G1052" s="1141"/>
      <c r="H1052" s="1141"/>
      <c r="I1052" s="1144"/>
      <c r="J1052" s="1141"/>
      <c r="K1052" s="1141"/>
      <c r="L1052" s="1148"/>
    </row>
    <row r="1053" spans="1:12" s="1130" customFormat="1">
      <c r="A1053" s="746"/>
      <c r="B1053" s="746"/>
      <c r="C1053" s="746"/>
      <c r="D1053" s="746"/>
      <c r="E1053" s="1143"/>
      <c r="F1053" s="1141"/>
      <c r="G1053" s="1141"/>
      <c r="H1053" s="1141"/>
      <c r="I1053" s="1144"/>
      <c r="J1053" s="1141"/>
      <c r="K1053" s="1141"/>
      <c r="L1053" s="1148"/>
    </row>
    <row r="1054" spans="1:12" s="1130" customFormat="1">
      <c r="A1054" s="746"/>
      <c r="B1054" s="746"/>
      <c r="C1054" s="746"/>
      <c r="D1054" s="746"/>
      <c r="E1054" s="1143"/>
      <c r="F1054" s="1141"/>
      <c r="G1054" s="1141"/>
      <c r="H1054" s="1141"/>
      <c r="I1054" s="1144"/>
      <c r="J1054" s="1141"/>
      <c r="K1054" s="1141"/>
      <c r="L1054" s="1148"/>
    </row>
    <row r="1055" spans="1:12" s="1130" customFormat="1">
      <c r="A1055" s="746"/>
      <c r="B1055" s="746"/>
      <c r="C1055" s="746"/>
      <c r="D1055" s="746"/>
      <c r="E1055" s="1143"/>
      <c r="F1055" s="1141"/>
      <c r="G1055" s="1141"/>
      <c r="H1055" s="1141"/>
      <c r="I1055" s="1144"/>
      <c r="J1055" s="1141"/>
      <c r="K1055" s="1141"/>
      <c r="L1055" s="1148"/>
    </row>
    <row r="1056" spans="1:12" s="1130" customFormat="1">
      <c r="A1056" s="746"/>
      <c r="B1056" s="746"/>
      <c r="C1056" s="746"/>
      <c r="D1056" s="746"/>
      <c r="E1056" s="1143"/>
      <c r="F1056" s="1141"/>
      <c r="G1056" s="1141"/>
      <c r="H1056" s="1141"/>
      <c r="I1056" s="1144"/>
      <c r="J1056" s="1141"/>
      <c r="K1056" s="1141"/>
      <c r="L1056" s="1148"/>
    </row>
    <row r="1057" spans="1:12" s="1130" customFormat="1">
      <c r="A1057" s="746"/>
      <c r="B1057" s="746"/>
      <c r="C1057" s="746"/>
      <c r="D1057" s="746"/>
      <c r="E1057" s="1143"/>
      <c r="F1057" s="1141"/>
      <c r="G1057" s="1141"/>
      <c r="H1057" s="1141"/>
      <c r="I1057" s="1144"/>
      <c r="J1057" s="1141"/>
      <c r="K1057" s="1141"/>
      <c r="L1057" s="1148"/>
    </row>
    <row r="1058" spans="1:12" s="1130" customFormat="1">
      <c r="A1058" s="746"/>
      <c r="B1058" s="746"/>
      <c r="C1058" s="746"/>
      <c r="D1058" s="746"/>
      <c r="E1058" s="1143"/>
      <c r="F1058" s="1141"/>
      <c r="G1058" s="1141"/>
      <c r="H1058" s="1141"/>
      <c r="I1058" s="1144"/>
      <c r="J1058" s="1141"/>
      <c r="K1058" s="1141"/>
      <c r="L1058" s="1148"/>
    </row>
    <row r="1059" spans="1:12" s="1130" customFormat="1">
      <c r="A1059" s="746"/>
      <c r="B1059" s="746"/>
      <c r="C1059" s="746"/>
      <c r="D1059" s="746"/>
      <c r="E1059" s="1143"/>
      <c r="F1059" s="1141"/>
      <c r="G1059" s="1141"/>
      <c r="H1059" s="1141"/>
      <c r="I1059" s="1144"/>
      <c r="J1059" s="1141"/>
      <c r="K1059" s="1141"/>
      <c r="L1059" s="1148"/>
    </row>
    <row r="1060" spans="1:12" s="1130" customFormat="1">
      <c r="A1060" s="746"/>
      <c r="B1060" s="746"/>
      <c r="C1060" s="746"/>
      <c r="D1060" s="746"/>
      <c r="E1060" s="1143"/>
      <c r="F1060" s="1141"/>
      <c r="G1060" s="1141"/>
      <c r="H1060" s="1141"/>
      <c r="I1060" s="1144"/>
      <c r="J1060" s="1141"/>
      <c r="K1060" s="1141"/>
      <c r="L1060" s="1148"/>
    </row>
    <row r="1061" spans="1:12" s="1130" customFormat="1">
      <c r="A1061" s="746"/>
      <c r="B1061" s="746"/>
      <c r="C1061" s="746"/>
      <c r="D1061" s="746"/>
      <c r="E1061" s="1143"/>
      <c r="F1061" s="1141"/>
      <c r="G1061" s="1141"/>
      <c r="H1061" s="1141"/>
      <c r="I1061" s="1144"/>
      <c r="J1061" s="1141"/>
      <c r="K1061" s="1141"/>
      <c r="L1061" s="1148"/>
    </row>
    <row r="1062" spans="1:12" s="1130" customFormat="1">
      <c r="A1062" s="746"/>
      <c r="B1062" s="746"/>
      <c r="C1062" s="746"/>
      <c r="D1062" s="746"/>
      <c r="E1062" s="1143"/>
      <c r="F1062" s="1141"/>
      <c r="G1062" s="1141"/>
      <c r="H1062" s="1141"/>
      <c r="I1062" s="1144"/>
      <c r="J1062" s="1141"/>
      <c r="K1062" s="1141"/>
      <c r="L1062" s="1148"/>
    </row>
    <row r="1063" spans="1:12" s="1130" customFormat="1">
      <c r="A1063" s="746"/>
      <c r="B1063" s="746"/>
      <c r="C1063" s="746"/>
      <c r="D1063" s="746"/>
      <c r="E1063" s="1143"/>
      <c r="F1063" s="1141"/>
      <c r="G1063" s="1141"/>
      <c r="H1063" s="1141"/>
      <c r="I1063" s="1144"/>
      <c r="J1063" s="1141"/>
      <c r="K1063" s="1141"/>
      <c r="L1063" s="1148"/>
    </row>
    <row r="1064" spans="1:12" s="1130" customFormat="1">
      <c r="A1064" s="746"/>
      <c r="B1064" s="746"/>
      <c r="C1064" s="746"/>
      <c r="D1064" s="746"/>
      <c r="E1064" s="1143"/>
      <c r="F1064" s="1141"/>
      <c r="G1064" s="1141"/>
      <c r="H1064" s="1141"/>
      <c r="I1064" s="1144"/>
      <c r="J1064" s="1141"/>
      <c r="K1064" s="1141"/>
      <c r="L1064" s="1148"/>
    </row>
    <row r="1065" spans="1:12" s="1130" customFormat="1">
      <c r="A1065" s="746"/>
      <c r="B1065" s="746"/>
      <c r="C1065" s="746"/>
      <c r="D1065" s="746"/>
      <c r="E1065" s="1143"/>
      <c r="F1065" s="1141"/>
      <c r="G1065" s="1141"/>
      <c r="H1065" s="1141"/>
      <c r="I1065" s="1144"/>
      <c r="J1065" s="1141"/>
      <c r="K1065" s="1141"/>
      <c r="L1065" s="1148"/>
    </row>
    <row r="1066" spans="1:12" s="1130" customFormat="1">
      <c r="A1066" s="746"/>
      <c r="B1066" s="746"/>
      <c r="C1066" s="746"/>
      <c r="D1066" s="746"/>
      <c r="E1066" s="1143"/>
      <c r="F1066" s="1141"/>
      <c r="G1066" s="1141"/>
      <c r="H1066" s="1141"/>
      <c r="I1066" s="1144"/>
      <c r="J1066" s="1141"/>
      <c r="K1066" s="1141"/>
      <c r="L1066" s="1148"/>
    </row>
    <row r="1067" spans="1:12" s="1130" customFormat="1">
      <c r="A1067" s="746"/>
      <c r="B1067" s="746"/>
      <c r="C1067" s="746"/>
      <c r="D1067" s="746"/>
      <c r="E1067" s="1143"/>
      <c r="F1067" s="1141"/>
      <c r="G1067" s="1141"/>
      <c r="H1067" s="1141"/>
      <c r="I1067" s="1144"/>
      <c r="J1067" s="1141"/>
      <c r="K1067" s="1141"/>
      <c r="L1067" s="1148"/>
    </row>
    <row r="1068" spans="1:12" s="1130" customFormat="1">
      <c r="A1068" s="746"/>
      <c r="B1068" s="746"/>
      <c r="C1068" s="746"/>
      <c r="D1068" s="746"/>
      <c r="E1068" s="1143"/>
      <c r="F1068" s="1141"/>
      <c r="G1068" s="1141"/>
      <c r="H1068" s="1141"/>
      <c r="I1068" s="1144"/>
      <c r="J1068" s="1141"/>
      <c r="K1068" s="1141"/>
      <c r="L1068" s="1148"/>
    </row>
    <row r="1069" spans="1:12" s="1130" customFormat="1">
      <c r="A1069" s="746"/>
      <c r="B1069" s="746"/>
      <c r="C1069" s="746"/>
      <c r="D1069" s="746"/>
      <c r="E1069" s="1143"/>
      <c r="F1069" s="1141"/>
      <c r="G1069" s="1141"/>
      <c r="H1069" s="1141"/>
      <c r="I1069" s="1144"/>
      <c r="J1069" s="1141"/>
      <c r="K1069" s="1141"/>
      <c r="L1069" s="1148"/>
    </row>
    <row r="1070" spans="1:12" s="1130" customFormat="1">
      <c r="A1070" s="746"/>
      <c r="B1070" s="746"/>
      <c r="C1070" s="746"/>
      <c r="D1070" s="746"/>
      <c r="E1070" s="1143"/>
      <c r="F1070" s="1141"/>
      <c r="G1070" s="1141"/>
      <c r="H1070" s="1141"/>
      <c r="I1070" s="1144"/>
      <c r="J1070" s="1141"/>
      <c r="K1070" s="1141"/>
      <c r="L1070" s="1148"/>
    </row>
    <row r="1071" spans="1:12" s="1130" customFormat="1">
      <c r="A1071" s="746"/>
      <c r="B1071" s="746"/>
      <c r="C1071" s="746"/>
      <c r="D1071" s="746"/>
      <c r="E1071" s="1143"/>
      <c r="F1071" s="1141"/>
      <c r="G1071" s="1141"/>
      <c r="H1071" s="1141"/>
      <c r="I1071" s="1144"/>
      <c r="J1071" s="1141"/>
      <c r="K1071" s="1141"/>
      <c r="L1071" s="1148"/>
    </row>
    <row r="1072" spans="1:12" s="1130" customFormat="1">
      <c r="A1072" s="746"/>
      <c r="B1072" s="746"/>
      <c r="C1072" s="746"/>
      <c r="D1072" s="746"/>
      <c r="E1072" s="1143"/>
      <c r="F1072" s="1141"/>
      <c r="G1072" s="1141"/>
      <c r="H1072" s="1141"/>
      <c r="I1072" s="1144"/>
      <c r="J1072" s="1141"/>
      <c r="K1072" s="1141"/>
      <c r="L1072" s="1148"/>
    </row>
    <row r="1073" spans="1:12" s="1130" customFormat="1">
      <c r="A1073" s="746"/>
      <c r="B1073" s="746"/>
      <c r="C1073" s="746"/>
      <c r="D1073" s="746"/>
      <c r="E1073" s="1143"/>
      <c r="F1073" s="1141"/>
      <c r="G1073" s="1141"/>
      <c r="H1073" s="1141"/>
      <c r="I1073" s="1144"/>
      <c r="J1073" s="1141"/>
      <c r="K1073" s="1141"/>
      <c r="L1073" s="1148"/>
    </row>
    <row r="1074" spans="1:12" s="1130" customFormat="1">
      <c r="A1074" s="746"/>
      <c r="B1074" s="746"/>
      <c r="C1074" s="746"/>
      <c r="D1074" s="746"/>
      <c r="E1074" s="1143"/>
      <c r="F1074" s="1141"/>
      <c r="G1074" s="1141"/>
      <c r="H1074" s="1141"/>
      <c r="I1074" s="1144"/>
      <c r="J1074" s="1141"/>
      <c r="K1074" s="1141"/>
      <c r="L1074" s="1148"/>
    </row>
    <row r="1075" spans="1:12" s="1130" customFormat="1">
      <c r="A1075" s="746"/>
      <c r="B1075" s="746"/>
      <c r="C1075" s="746"/>
      <c r="D1075" s="746"/>
      <c r="E1075" s="1143"/>
      <c r="F1075" s="1141"/>
      <c r="G1075" s="1141"/>
      <c r="H1075" s="1141"/>
      <c r="I1075" s="1144"/>
      <c r="J1075" s="1141"/>
      <c r="K1075" s="1141"/>
      <c r="L1075" s="1148"/>
    </row>
    <row r="1076" spans="1:12" s="1130" customFormat="1">
      <c r="A1076" s="746"/>
      <c r="B1076" s="746"/>
      <c r="C1076" s="746"/>
      <c r="D1076" s="746"/>
      <c r="E1076" s="1143"/>
      <c r="F1076" s="1141"/>
      <c r="G1076" s="1141"/>
      <c r="H1076" s="1141"/>
      <c r="I1076" s="1144"/>
      <c r="J1076" s="1141"/>
      <c r="K1076" s="1141"/>
      <c r="L1076" s="1148"/>
    </row>
    <row r="1077" spans="1:12" s="1130" customFormat="1">
      <c r="A1077" s="746"/>
      <c r="B1077" s="746"/>
      <c r="C1077" s="746"/>
      <c r="D1077" s="746"/>
      <c r="E1077" s="1143"/>
      <c r="F1077" s="1141"/>
      <c r="G1077" s="1141"/>
      <c r="H1077" s="1141"/>
      <c r="I1077" s="1144"/>
      <c r="J1077" s="1141"/>
      <c r="K1077" s="1141"/>
      <c r="L1077" s="1148"/>
    </row>
    <row r="1078" spans="1:12" s="1130" customFormat="1">
      <c r="A1078" s="746"/>
      <c r="B1078" s="746"/>
      <c r="C1078" s="746"/>
      <c r="D1078" s="746"/>
      <c r="E1078" s="1143"/>
      <c r="F1078" s="1141"/>
      <c r="G1078" s="1141"/>
      <c r="H1078" s="1141"/>
      <c r="I1078" s="1144"/>
      <c r="J1078" s="1141"/>
      <c r="K1078" s="1141"/>
      <c r="L1078" s="1148"/>
    </row>
    <row r="1079" spans="1:12" s="1130" customFormat="1">
      <c r="A1079" s="746"/>
      <c r="B1079" s="746"/>
      <c r="C1079" s="746"/>
      <c r="D1079" s="746"/>
      <c r="E1079" s="1143"/>
      <c r="F1079" s="1141"/>
      <c r="G1079" s="1141"/>
      <c r="H1079" s="1141"/>
      <c r="I1079" s="1144"/>
      <c r="J1079" s="1141"/>
      <c r="K1079" s="1141"/>
      <c r="L1079" s="1148"/>
    </row>
    <row r="1080" spans="1:12" s="1130" customFormat="1">
      <c r="A1080" s="746"/>
      <c r="B1080" s="746"/>
      <c r="C1080" s="746"/>
      <c r="D1080" s="746"/>
      <c r="E1080" s="1143"/>
      <c r="F1080" s="1141"/>
      <c r="G1080" s="1141"/>
      <c r="H1080" s="1141"/>
      <c r="I1080" s="1144"/>
      <c r="J1080" s="1141"/>
      <c r="K1080" s="1141"/>
      <c r="L1080" s="1148"/>
    </row>
    <row r="1081" spans="1:12" s="1130" customFormat="1">
      <c r="A1081" s="746"/>
      <c r="B1081" s="746"/>
      <c r="C1081" s="746"/>
      <c r="D1081" s="746"/>
      <c r="E1081" s="1143"/>
      <c r="F1081" s="1141"/>
      <c r="G1081" s="1141"/>
      <c r="H1081" s="1141"/>
      <c r="I1081" s="1144"/>
      <c r="J1081" s="1141"/>
      <c r="K1081" s="1141"/>
      <c r="L1081" s="1148"/>
    </row>
    <row r="1082" spans="1:12" s="1130" customFormat="1">
      <c r="A1082" s="746"/>
      <c r="B1082" s="746"/>
      <c r="C1082" s="746"/>
      <c r="D1082" s="746"/>
      <c r="E1082" s="1143"/>
      <c r="F1082" s="1141"/>
      <c r="G1082" s="1141"/>
      <c r="H1082" s="1141"/>
      <c r="I1082" s="1144"/>
      <c r="J1082" s="1141"/>
      <c r="K1082" s="1141"/>
      <c r="L1082" s="1148"/>
    </row>
    <row r="1083" spans="1:12" s="1130" customFormat="1">
      <c r="A1083" s="746"/>
      <c r="B1083" s="746"/>
      <c r="C1083" s="746"/>
      <c r="D1083" s="746"/>
      <c r="E1083" s="1143"/>
      <c r="F1083" s="1141"/>
      <c r="G1083" s="1141"/>
      <c r="H1083" s="1141"/>
      <c r="I1083" s="1144"/>
      <c r="J1083" s="1141"/>
      <c r="K1083" s="1141"/>
      <c r="L1083" s="1148"/>
    </row>
    <row r="1084" spans="1:12" s="1130" customFormat="1">
      <c r="A1084" s="746"/>
      <c r="B1084" s="746"/>
      <c r="C1084" s="746"/>
      <c r="D1084" s="746"/>
      <c r="E1084" s="1143"/>
      <c r="F1084" s="1141"/>
      <c r="G1084" s="1141"/>
      <c r="H1084" s="1141"/>
      <c r="I1084" s="1144"/>
      <c r="J1084" s="1141"/>
      <c r="K1084" s="1141"/>
      <c r="L1084" s="1148"/>
    </row>
    <row r="1085" spans="1:12" s="1130" customFormat="1">
      <c r="A1085" s="746"/>
      <c r="B1085" s="746"/>
      <c r="C1085" s="746"/>
      <c r="D1085" s="746"/>
      <c r="E1085" s="1143"/>
      <c r="F1085" s="1141"/>
      <c r="G1085" s="1141"/>
      <c r="H1085" s="1141"/>
      <c r="I1085" s="1144"/>
      <c r="J1085" s="1141"/>
      <c r="K1085" s="1141"/>
      <c r="L1085" s="1148"/>
    </row>
    <row r="1086" spans="1:12" s="1130" customFormat="1">
      <c r="A1086" s="746"/>
      <c r="B1086" s="746"/>
      <c r="C1086" s="746"/>
      <c r="D1086" s="746"/>
      <c r="E1086" s="1143"/>
      <c r="F1086" s="1141"/>
      <c r="G1086" s="1141"/>
      <c r="H1086" s="1141"/>
      <c r="I1086" s="1144"/>
      <c r="J1086" s="1141"/>
      <c r="K1086" s="1141"/>
      <c r="L1086" s="1148"/>
    </row>
    <row r="1087" spans="1:12" s="1130" customFormat="1">
      <c r="A1087" s="746"/>
      <c r="B1087" s="746"/>
      <c r="C1087" s="746"/>
      <c r="D1087" s="746"/>
      <c r="E1087" s="1143"/>
      <c r="F1087" s="1141"/>
      <c r="G1087" s="1141"/>
      <c r="H1087" s="1141"/>
      <c r="I1087" s="1144"/>
      <c r="J1087" s="1141"/>
      <c r="K1087" s="1141"/>
      <c r="L1087" s="1148"/>
    </row>
    <row r="1088" spans="1:12" s="1130" customFormat="1">
      <c r="A1088" s="746"/>
      <c r="B1088" s="746"/>
      <c r="C1088" s="746"/>
      <c r="D1088" s="746"/>
      <c r="E1088" s="1143"/>
      <c r="F1088" s="1141"/>
      <c r="G1088" s="1141"/>
      <c r="H1088" s="1141"/>
      <c r="I1088" s="1144"/>
      <c r="J1088" s="1141"/>
      <c r="K1088" s="1141"/>
      <c r="L1088" s="1148"/>
    </row>
    <row r="1089" spans="1:12" s="1130" customFormat="1">
      <c r="A1089" s="746"/>
      <c r="B1089" s="746"/>
      <c r="C1089" s="746"/>
      <c r="D1089" s="746"/>
      <c r="E1089" s="1143"/>
      <c r="F1089" s="1141"/>
      <c r="G1089" s="1141"/>
      <c r="H1089" s="1141"/>
      <c r="I1089" s="1144"/>
      <c r="J1089" s="1141"/>
      <c r="K1089" s="1141"/>
      <c r="L1089" s="1148"/>
    </row>
    <row r="1090" spans="1:12" s="1130" customFormat="1">
      <c r="A1090" s="746"/>
      <c r="B1090" s="746"/>
      <c r="C1090" s="746"/>
      <c r="D1090" s="746"/>
      <c r="E1090" s="1143"/>
      <c r="F1090" s="1141"/>
      <c r="G1090" s="1141"/>
      <c r="H1090" s="1141"/>
      <c r="I1090" s="1144"/>
      <c r="J1090" s="1141"/>
      <c r="K1090" s="1141"/>
      <c r="L1090" s="1148"/>
    </row>
    <row r="1091" spans="1:12" s="1130" customFormat="1">
      <c r="A1091" s="746"/>
      <c r="B1091" s="746"/>
      <c r="C1091" s="746"/>
      <c r="D1091" s="746"/>
      <c r="E1091" s="1143"/>
      <c r="F1091" s="1141"/>
      <c r="G1091" s="1141"/>
      <c r="H1091" s="1141"/>
      <c r="I1091" s="1144"/>
      <c r="J1091" s="1141"/>
      <c r="K1091" s="1141"/>
      <c r="L1091" s="1148"/>
    </row>
    <row r="1092" spans="1:12" s="1130" customFormat="1">
      <c r="A1092" s="746"/>
      <c r="B1092" s="746"/>
      <c r="C1092" s="746"/>
      <c r="D1092" s="746"/>
      <c r="E1092" s="1143"/>
      <c r="F1092" s="1141"/>
      <c r="G1092" s="1141"/>
      <c r="H1092" s="1141"/>
      <c r="I1092" s="1144"/>
      <c r="J1092" s="1141"/>
      <c r="K1092" s="1141"/>
      <c r="L1092" s="1148"/>
    </row>
    <row r="1093" spans="1:12" s="1130" customFormat="1">
      <c r="A1093" s="746"/>
      <c r="B1093" s="746"/>
      <c r="C1093" s="746"/>
      <c r="D1093" s="746"/>
      <c r="E1093" s="1143"/>
      <c r="F1093" s="1141"/>
      <c r="G1093" s="1141"/>
      <c r="H1093" s="1141"/>
      <c r="I1093" s="1144"/>
      <c r="J1093" s="1141"/>
      <c r="K1093" s="1141"/>
      <c r="L1093" s="1148"/>
    </row>
    <row r="1094" spans="1:12" s="1130" customFormat="1">
      <c r="A1094" s="746"/>
      <c r="B1094" s="746"/>
      <c r="C1094" s="746"/>
      <c r="D1094" s="746"/>
      <c r="E1094" s="1143"/>
      <c r="F1094" s="1141"/>
      <c r="G1094" s="1141"/>
      <c r="H1094" s="1141"/>
      <c r="I1094" s="1144"/>
      <c r="J1094" s="1141"/>
      <c r="K1094" s="1141"/>
      <c r="L1094" s="1148"/>
    </row>
    <row r="1095" spans="1:12" s="1130" customFormat="1">
      <c r="A1095" s="746"/>
      <c r="B1095" s="746"/>
      <c r="C1095" s="746"/>
      <c r="D1095" s="746"/>
      <c r="E1095" s="1143"/>
      <c r="F1095" s="1141"/>
      <c r="G1095" s="1141"/>
      <c r="H1095" s="1141"/>
      <c r="I1095" s="1144"/>
      <c r="J1095" s="1141"/>
      <c r="K1095" s="1141"/>
      <c r="L1095" s="1148"/>
    </row>
    <row r="1096" spans="1:12" s="1130" customFormat="1">
      <c r="A1096" s="746"/>
      <c r="B1096" s="746"/>
      <c r="C1096" s="746"/>
      <c r="D1096" s="746"/>
      <c r="E1096" s="1143"/>
      <c r="F1096" s="1141"/>
      <c r="G1096" s="1141"/>
      <c r="H1096" s="1141"/>
      <c r="I1096" s="1144"/>
      <c r="J1096" s="1141"/>
      <c r="K1096" s="1141"/>
      <c r="L1096" s="1148"/>
    </row>
    <row r="1097" spans="1:12" s="1130" customFormat="1">
      <c r="A1097" s="746"/>
      <c r="B1097" s="746"/>
      <c r="C1097" s="746"/>
      <c r="D1097" s="746"/>
      <c r="E1097" s="1143"/>
      <c r="F1097" s="1141"/>
      <c r="G1097" s="1141"/>
      <c r="H1097" s="1141"/>
      <c r="I1097" s="1144"/>
      <c r="J1097" s="1141"/>
      <c r="K1097" s="1141"/>
      <c r="L1097" s="1148"/>
    </row>
    <row r="1098" spans="1:12" s="1130" customFormat="1">
      <c r="A1098" s="746"/>
      <c r="B1098" s="746"/>
      <c r="C1098" s="746"/>
      <c r="D1098" s="746"/>
      <c r="E1098" s="1143"/>
      <c r="F1098" s="1141"/>
      <c r="G1098" s="1141"/>
      <c r="H1098" s="1141"/>
      <c r="I1098" s="1144"/>
      <c r="J1098" s="1141"/>
      <c r="K1098" s="1141"/>
      <c r="L1098" s="1148"/>
    </row>
    <row r="1099" spans="1:12" s="1130" customFormat="1">
      <c r="A1099" s="746"/>
      <c r="B1099" s="746"/>
      <c r="C1099" s="746"/>
      <c r="D1099" s="746"/>
      <c r="E1099" s="1143"/>
      <c r="F1099" s="1141"/>
      <c r="G1099" s="1141"/>
      <c r="H1099" s="1141"/>
      <c r="I1099" s="1144"/>
      <c r="J1099" s="1141"/>
      <c r="K1099" s="1141"/>
      <c r="L1099" s="1148"/>
    </row>
    <row r="1100" spans="1:12" s="1130" customFormat="1">
      <c r="A1100" s="746"/>
      <c r="B1100" s="746"/>
      <c r="C1100" s="746"/>
      <c r="D1100" s="746"/>
      <c r="E1100" s="1143"/>
      <c r="F1100" s="1141"/>
      <c r="G1100" s="1141"/>
      <c r="H1100" s="1141"/>
      <c r="I1100" s="1144"/>
      <c r="J1100" s="1141"/>
      <c r="K1100" s="1141"/>
      <c r="L1100" s="1148"/>
    </row>
    <row r="1101" spans="1:12" s="1130" customFormat="1">
      <c r="A1101" s="746"/>
      <c r="B1101" s="746"/>
      <c r="C1101" s="746"/>
      <c r="D1101" s="746"/>
      <c r="E1101" s="1143"/>
      <c r="F1101" s="1141"/>
      <c r="G1101" s="1141"/>
      <c r="H1101" s="1141"/>
      <c r="I1101" s="1144"/>
      <c r="J1101" s="1141"/>
      <c r="K1101" s="1141"/>
      <c r="L1101" s="1148"/>
    </row>
    <row r="1102" spans="1:12" s="1130" customFormat="1">
      <c r="A1102" s="746"/>
      <c r="B1102" s="746"/>
      <c r="C1102" s="746"/>
      <c r="D1102" s="746"/>
      <c r="E1102" s="1143"/>
      <c r="F1102" s="1141"/>
      <c r="G1102" s="1141"/>
      <c r="H1102" s="1141"/>
      <c r="I1102" s="1144"/>
      <c r="J1102" s="1141"/>
      <c r="K1102" s="1141"/>
      <c r="L1102" s="1148"/>
    </row>
    <row r="1103" spans="1:12" s="1130" customFormat="1">
      <c r="A1103" s="746"/>
      <c r="B1103" s="746"/>
      <c r="C1103" s="746"/>
      <c r="D1103" s="746"/>
      <c r="E1103" s="1143"/>
      <c r="F1103" s="1141"/>
      <c r="G1103" s="1141"/>
      <c r="H1103" s="1141"/>
      <c r="I1103" s="1144"/>
      <c r="J1103" s="1141"/>
      <c r="K1103" s="1141"/>
      <c r="L1103" s="1148"/>
    </row>
    <row r="1104" spans="1:12" s="1130" customFormat="1">
      <c r="A1104" s="746"/>
      <c r="B1104" s="746"/>
      <c r="C1104" s="746"/>
      <c r="D1104" s="746"/>
      <c r="E1104" s="1143"/>
      <c r="F1104" s="1141"/>
      <c r="G1104" s="1141"/>
      <c r="H1104" s="1141"/>
      <c r="I1104" s="1144"/>
      <c r="J1104" s="1141"/>
      <c r="K1104" s="1141"/>
      <c r="L1104" s="1148"/>
    </row>
    <row r="1105" spans="1:12" s="1130" customFormat="1">
      <c r="A1105" s="746"/>
      <c r="B1105" s="746"/>
      <c r="C1105" s="746"/>
      <c r="D1105" s="746"/>
      <c r="E1105" s="1143"/>
      <c r="F1105" s="1141"/>
      <c r="G1105" s="1141"/>
      <c r="H1105" s="1141"/>
      <c r="I1105" s="1144"/>
      <c r="J1105" s="1141"/>
      <c r="K1105" s="1141"/>
      <c r="L1105" s="1148"/>
    </row>
    <row r="1106" spans="1:12" s="1130" customFormat="1">
      <c r="A1106" s="746"/>
      <c r="B1106" s="746"/>
      <c r="C1106" s="746"/>
      <c r="D1106" s="746"/>
      <c r="E1106" s="1143"/>
      <c r="F1106" s="1141"/>
      <c r="G1106" s="1141"/>
      <c r="H1106" s="1141"/>
      <c r="I1106" s="1144"/>
      <c r="J1106" s="1141"/>
      <c r="K1106" s="1141"/>
      <c r="L1106" s="1148"/>
    </row>
    <row r="1107" spans="1:12" s="1130" customFormat="1">
      <c r="A1107" s="746"/>
      <c r="B1107" s="746"/>
      <c r="C1107" s="746"/>
      <c r="D1107" s="746"/>
      <c r="E1107" s="1143"/>
      <c r="F1107" s="1141"/>
      <c r="G1107" s="1141"/>
      <c r="H1107" s="1141"/>
      <c r="I1107" s="1144"/>
      <c r="J1107" s="1141"/>
      <c r="K1107" s="1141"/>
      <c r="L1107" s="1148"/>
    </row>
    <row r="1108" spans="1:12" s="1130" customFormat="1">
      <c r="A1108" s="746"/>
      <c r="B1108" s="746"/>
      <c r="C1108" s="746"/>
      <c r="D1108" s="746"/>
      <c r="E1108" s="1143"/>
      <c r="F1108" s="1141"/>
      <c r="G1108" s="1141"/>
      <c r="H1108" s="1141"/>
      <c r="I1108" s="1144"/>
      <c r="J1108" s="1141"/>
      <c r="K1108" s="1141"/>
      <c r="L1108" s="1148"/>
    </row>
    <row r="1109" spans="1:12" s="1130" customFormat="1">
      <c r="A1109" s="746"/>
      <c r="B1109" s="746"/>
      <c r="C1109" s="746"/>
      <c r="D1109" s="746"/>
      <c r="E1109" s="1143"/>
      <c r="F1109" s="1141"/>
      <c r="G1109" s="1141"/>
      <c r="H1109" s="1141"/>
      <c r="I1109" s="1144"/>
      <c r="J1109" s="1141"/>
      <c r="K1109" s="1141"/>
      <c r="L1109" s="1148"/>
    </row>
    <row r="1110" spans="1:12" s="1130" customFormat="1">
      <c r="A1110" s="746"/>
      <c r="B1110" s="746"/>
      <c r="C1110" s="746"/>
      <c r="D1110" s="746"/>
      <c r="E1110" s="1143"/>
      <c r="F1110" s="1141"/>
      <c r="G1110" s="1141"/>
      <c r="H1110" s="1141"/>
      <c r="I1110" s="1144"/>
      <c r="J1110" s="1141"/>
      <c r="K1110" s="1141"/>
      <c r="L1110" s="1148"/>
    </row>
    <row r="1111" spans="1:12" s="1130" customFormat="1">
      <c r="A1111" s="746"/>
      <c r="B1111" s="746"/>
      <c r="C1111" s="746"/>
      <c r="D1111" s="746"/>
      <c r="E1111" s="1143"/>
      <c r="F1111" s="1141"/>
      <c r="G1111" s="1141"/>
      <c r="H1111" s="1141"/>
      <c r="I1111" s="1144"/>
      <c r="J1111" s="1141"/>
      <c r="K1111" s="1141"/>
      <c r="L1111" s="1148"/>
    </row>
    <row r="1112" spans="1:12" s="1130" customFormat="1">
      <c r="A1112" s="746"/>
      <c r="B1112" s="746"/>
      <c r="C1112" s="746"/>
      <c r="D1112" s="746"/>
      <c r="E1112" s="1143"/>
      <c r="F1112" s="1141"/>
      <c r="G1112" s="1141"/>
      <c r="H1112" s="1141"/>
      <c r="I1112" s="1144"/>
      <c r="J1112" s="1141"/>
      <c r="K1112" s="1141"/>
      <c r="L1112" s="1148"/>
    </row>
    <row r="1113" spans="1:12" s="1130" customFormat="1">
      <c r="A1113" s="746"/>
      <c r="B1113" s="746"/>
      <c r="C1113" s="746"/>
      <c r="D1113" s="746"/>
      <c r="E1113" s="1143"/>
      <c r="F1113" s="1141"/>
      <c r="G1113" s="1141"/>
      <c r="H1113" s="1141"/>
      <c r="I1113" s="1144"/>
      <c r="J1113" s="1141"/>
      <c r="K1113" s="1141"/>
      <c r="L1113" s="1148"/>
    </row>
    <row r="1114" spans="1:12" s="1130" customFormat="1">
      <c r="A1114" s="746"/>
      <c r="B1114" s="746"/>
      <c r="C1114" s="746"/>
      <c r="D1114" s="746"/>
      <c r="E1114" s="1143"/>
      <c r="F1114" s="1141"/>
      <c r="G1114" s="1141"/>
      <c r="H1114" s="1141"/>
      <c r="I1114" s="1144"/>
      <c r="J1114" s="1141"/>
      <c r="K1114" s="1141"/>
      <c r="L1114" s="1148"/>
    </row>
    <row r="1115" spans="1:12" s="1130" customFormat="1">
      <c r="A1115" s="746"/>
      <c r="B1115" s="746"/>
      <c r="C1115" s="746"/>
      <c r="D1115" s="746"/>
      <c r="E1115" s="1143"/>
      <c r="F1115" s="1141"/>
      <c r="G1115" s="1141"/>
      <c r="H1115" s="1141"/>
      <c r="I1115" s="1144"/>
      <c r="J1115" s="1141"/>
      <c r="K1115" s="1141"/>
      <c r="L1115" s="1148"/>
    </row>
    <row r="1116" spans="1:12" s="1130" customFormat="1">
      <c r="A1116" s="746"/>
      <c r="B1116" s="746"/>
      <c r="C1116" s="746"/>
      <c r="D1116" s="746"/>
      <c r="E1116" s="1143"/>
      <c r="F1116" s="1141"/>
      <c r="G1116" s="1141"/>
      <c r="H1116" s="1141"/>
      <c r="I1116" s="1144"/>
      <c r="J1116" s="1141"/>
      <c r="K1116" s="1141"/>
      <c r="L1116" s="1148"/>
    </row>
    <row r="1117" spans="1:12" s="1130" customFormat="1">
      <c r="A1117" s="746"/>
      <c r="B1117" s="746"/>
      <c r="C1117" s="746"/>
      <c r="D1117" s="746"/>
      <c r="E1117" s="1143"/>
      <c r="F1117" s="1141"/>
      <c r="G1117" s="1141"/>
      <c r="H1117" s="1141"/>
      <c r="I1117" s="1144"/>
      <c r="J1117" s="1141"/>
      <c r="K1117" s="1141"/>
      <c r="L1117" s="1148"/>
    </row>
    <row r="1118" spans="1:12" s="1130" customFormat="1">
      <c r="A1118" s="746"/>
      <c r="B1118" s="746"/>
      <c r="C1118" s="746"/>
      <c r="D1118" s="746"/>
      <c r="E1118" s="1143"/>
      <c r="F1118" s="1141"/>
      <c r="G1118" s="1141"/>
      <c r="H1118" s="1141"/>
      <c r="I1118" s="1144"/>
      <c r="J1118" s="1141"/>
      <c r="K1118" s="1141"/>
      <c r="L1118" s="1148"/>
    </row>
    <row r="1119" spans="1:12" s="1130" customFormat="1">
      <c r="A1119" s="746"/>
      <c r="B1119" s="746"/>
      <c r="C1119" s="746"/>
      <c r="D1119" s="746"/>
      <c r="E1119" s="1143"/>
      <c r="F1119" s="1141"/>
      <c r="G1119" s="1141"/>
      <c r="H1119" s="1141"/>
      <c r="I1119" s="1144"/>
      <c r="J1119" s="1141"/>
      <c r="K1119" s="1141"/>
      <c r="L1119" s="1148"/>
    </row>
    <row r="1120" spans="1:12" s="1130" customFormat="1">
      <c r="A1120" s="746"/>
      <c r="B1120" s="746"/>
      <c r="C1120" s="746"/>
      <c r="D1120" s="746"/>
      <c r="E1120" s="1143"/>
      <c r="F1120" s="1141"/>
      <c r="G1120" s="1141"/>
      <c r="H1120" s="1141"/>
      <c r="I1120" s="1144"/>
      <c r="J1120" s="1141"/>
      <c r="K1120" s="1141"/>
      <c r="L1120" s="1148"/>
    </row>
    <row r="1121" spans="1:12" s="1130" customFormat="1">
      <c r="A1121" s="746"/>
      <c r="B1121" s="746"/>
      <c r="C1121" s="746"/>
      <c r="D1121" s="746"/>
      <c r="E1121" s="1143"/>
      <c r="F1121" s="1141"/>
      <c r="G1121" s="1141"/>
      <c r="H1121" s="1141"/>
      <c r="I1121" s="1144"/>
      <c r="J1121" s="1141"/>
      <c r="K1121" s="1141"/>
      <c r="L1121" s="1148"/>
    </row>
    <row r="1122" spans="1:12" s="1130" customFormat="1">
      <c r="A1122" s="746"/>
      <c r="B1122" s="746"/>
      <c r="C1122" s="746"/>
      <c r="D1122" s="746"/>
      <c r="E1122" s="1143"/>
      <c r="F1122" s="1141"/>
      <c r="G1122" s="1141"/>
      <c r="H1122" s="1141"/>
      <c r="I1122" s="1144"/>
      <c r="J1122" s="1141"/>
      <c r="K1122" s="1141"/>
      <c r="L1122" s="1148"/>
    </row>
    <row r="1123" spans="1:12" s="1130" customFormat="1">
      <c r="A1123" s="746"/>
      <c r="B1123" s="746"/>
      <c r="C1123" s="746"/>
      <c r="D1123" s="746"/>
      <c r="E1123" s="1143"/>
      <c r="F1123" s="1141"/>
      <c r="G1123" s="1141"/>
      <c r="H1123" s="1141"/>
      <c r="I1123" s="1144"/>
      <c r="J1123" s="1141"/>
      <c r="K1123" s="1141"/>
      <c r="L1123" s="1148"/>
    </row>
    <row r="1124" spans="1:12" s="1130" customFormat="1">
      <c r="A1124" s="746"/>
      <c r="B1124" s="746"/>
      <c r="C1124" s="746"/>
      <c r="D1124" s="746"/>
      <c r="E1124" s="1143"/>
      <c r="F1124" s="1141"/>
      <c r="G1124" s="1141"/>
      <c r="H1124" s="1141"/>
      <c r="I1124" s="1144"/>
      <c r="J1124" s="1141"/>
      <c r="K1124" s="1141"/>
      <c r="L1124" s="1148"/>
    </row>
    <row r="1125" spans="1:12" s="1130" customFormat="1">
      <c r="A1125" s="746"/>
      <c r="B1125" s="746"/>
      <c r="C1125" s="746"/>
      <c r="D1125" s="746"/>
      <c r="E1125" s="1143"/>
      <c r="F1125" s="1141"/>
      <c r="G1125" s="1141"/>
      <c r="H1125" s="1141"/>
      <c r="I1125" s="1144"/>
      <c r="J1125" s="1141"/>
      <c r="K1125" s="1141"/>
      <c r="L1125" s="1148"/>
    </row>
    <row r="1126" spans="1:12" s="1130" customFormat="1">
      <c r="A1126" s="746"/>
      <c r="B1126" s="746"/>
      <c r="C1126" s="746"/>
      <c r="D1126" s="746"/>
      <c r="E1126" s="1143"/>
      <c r="F1126" s="1141"/>
      <c r="G1126" s="1141"/>
      <c r="H1126" s="1141"/>
      <c r="I1126" s="1144"/>
      <c r="J1126" s="1141"/>
      <c r="K1126" s="1141"/>
      <c r="L1126" s="1148"/>
    </row>
    <row r="1127" spans="1:12" s="1130" customFormat="1">
      <c r="A1127" s="746"/>
      <c r="B1127" s="746"/>
      <c r="C1127" s="746"/>
      <c r="D1127" s="746"/>
      <c r="E1127" s="1143"/>
      <c r="F1127" s="1141"/>
      <c r="G1127" s="1141"/>
      <c r="H1127" s="1141"/>
      <c r="I1127" s="1144"/>
      <c r="J1127" s="1141"/>
      <c r="K1127" s="1141"/>
      <c r="L1127" s="1148"/>
    </row>
    <row r="1128" spans="1:12" s="1130" customFormat="1">
      <c r="A1128" s="746"/>
      <c r="B1128" s="746"/>
      <c r="C1128" s="746"/>
      <c r="D1128" s="746"/>
      <c r="E1128" s="1143"/>
      <c r="F1128" s="1141"/>
      <c r="G1128" s="1141"/>
      <c r="H1128" s="1141"/>
      <c r="I1128" s="1144"/>
      <c r="J1128" s="1141"/>
      <c r="K1128" s="1141"/>
      <c r="L1128" s="1148"/>
    </row>
    <row r="1129" spans="1:12" s="1130" customFormat="1">
      <c r="A1129" s="746"/>
      <c r="B1129" s="746"/>
      <c r="C1129" s="746"/>
      <c r="D1129" s="746"/>
      <c r="E1129" s="1143"/>
      <c r="F1129" s="1141"/>
      <c r="G1129" s="1141"/>
      <c r="H1129" s="1141"/>
      <c r="I1129" s="1144"/>
      <c r="J1129" s="1141"/>
      <c r="K1129" s="1141"/>
      <c r="L1129" s="1148"/>
    </row>
    <row r="1130" spans="1:12" s="1130" customFormat="1">
      <c r="A1130" s="746"/>
      <c r="B1130" s="746"/>
      <c r="C1130" s="746"/>
      <c r="D1130" s="746"/>
      <c r="E1130" s="1143"/>
      <c r="F1130" s="1141"/>
      <c r="G1130" s="1141"/>
      <c r="H1130" s="1141"/>
      <c r="I1130" s="1144"/>
      <c r="J1130" s="1141"/>
      <c r="K1130" s="1141"/>
      <c r="L1130" s="1148"/>
    </row>
    <row r="1131" spans="1:12" s="1130" customFormat="1">
      <c r="A1131" s="746"/>
      <c r="B1131" s="746"/>
      <c r="C1131" s="746"/>
      <c r="D1131" s="746"/>
      <c r="E1131" s="1143"/>
      <c r="F1131" s="1141"/>
      <c r="G1131" s="1141"/>
      <c r="H1131" s="1141"/>
      <c r="I1131" s="1144"/>
      <c r="J1131" s="1141"/>
      <c r="K1131" s="1141"/>
      <c r="L1131" s="1148"/>
    </row>
    <row r="1132" spans="1:12" s="1130" customFormat="1">
      <c r="A1132" s="746"/>
      <c r="B1132" s="746"/>
      <c r="C1132" s="746"/>
      <c r="D1132" s="746"/>
      <c r="E1132" s="1143"/>
      <c r="F1132" s="1141"/>
      <c r="G1132" s="1141"/>
      <c r="H1132" s="1141"/>
      <c r="I1132" s="1144"/>
      <c r="J1132" s="1141"/>
      <c r="K1132" s="1141"/>
      <c r="L1132" s="1148"/>
    </row>
    <row r="1133" spans="1:12" s="1130" customFormat="1">
      <c r="A1133" s="746"/>
      <c r="B1133" s="746"/>
      <c r="C1133" s="746"/>
      <c r="D1133" s="746"/>
      <c r="E1133" s="1143"/>
      <c r="F1133" s="1141"/>
      <c r="G1133" s="1141"/>
      <c r="H1133" s="1141"/>
      <c r="I1133" s="1144"/>
      <c r="J1133" s="1141"/>
      <c r="K1133" s="1141"/>
      <c r="L1133" s="1148"/>
    </row>
    <row r="1134" spans="1:12" s="1130" customFormat="1">
      <c r="A1134" s="746"/>
      <c r="B1134" s="746"/>
      <c r="C1134" s="746"/>
      <c r="D1134" s="746"/>
      <c r="E1134" s="1143"/>
      <c r="F1134" s="1141"/>
      <c r="G1134" s="1141"/>
      <c r="H1134" s="1141"/>
      <c r="I1134" s="1144"/>
      <c r="J1134" s="1141"/>
      <c r="K1134" s="1141"/>
      <c r="L1134" s="1148"/>
    </row>
    <row r="1135" spans="1:12" s="1130" customFormat="1">
      <c r="A1135" s="746"/>
      <c r="B1135" s="746"/>
      <c r="C1135" s="746"/>
      <c r="D1135" s="746"/>
      <c r="E1135" s="1143"/>
      <c r="F1135" s="1141"/>
      <c r="G1135" s="1141"/>
      <c r="H1135" s="1141"/>
      <c r="I1135" s="1144"/>
      <c r="J1135" s="1141"/>
      <c r="K1135" s="1141"/>
      <c r="L1135" s="1148"/>
    </row>
    <row r="1136" spans="1:12" s="1130" customFormat="1">
      <c r="A1136" s="746"/>
      <c r="B1136" s="746"/>
      <c r="C1136" s="746"/>
      <c r="D1136" s="746"/>
      <c r="E1136" s="1143"/>
      <c r="F1136" s="1141"/>
      <c r="G1136" s="1141"/>
      <c r="H1136" s="1141"/>
      <c r="I1136" s="1144"/>
      <c r="J1136" s="1141"/>
      <c r="K1136" s="1141"/>
      <c r="L1136" s="1148"/>
    </row>
    <row r="1137" spans="1:12" s="1130" customFormat="1">
      <c r="A1137" s="746"/>
      <c r="B1137" s="746"/>
      <c r="C1137" s="746"/>
      <c r="D1137" s="746"/>
      <c r="E1137" s="1143"/>
      <c r="F1137" s="1141"/>
      <c r="G1137" s="1141"/>
      <c r="H1137" s="1141"/>
      <c r="I1137" s="1144"/>
      <c r="J1137" s="1141"/>
      <c r="K1137" s="1141"/>
      <c r="L1137" s="1148"/>
    </row>
    <row r="1138" spans="1:12" s="1130" customFormat="1">
      <c r="A1138" s="746"/>
      <c r="B1138" s="746"/>
      <c r="C1138" s="746"/>
      <c r="D1138" s="746"/>
      <c r="E1138" s="1143"/>
      <c r="F1138" s="1141"/>
      <c r="G1138" s="1141"/>
      <c r="H1138" s="1141"/>
      <c r="I1138" s="1144"/>
      <c r="J1138" s="1141"/>
      <c r="K1138" s="1141"/>
      <c r="L1138" s="1148"/>
    </row>
    <row r="1139" spans="1:12" s="1130" customFormat="1">
      <c r="A1139" s="746"/>
      <c r="B1139" s="746"/>
      <c r="C1139" s="746"/>
      <c r="D1139" s="746"/>
      <c r="E1139" s="1143"/>
      <c r="F1139" s="1141"/>
      <c r="G1139" s="1141"/>
      <c r="H1139" s="1141"/>
      <c r="I1139" s="1144"/>
      <c r="J1139" s="1141"/>
      <c r="K1139" s="1141"/>
      <c r="L1139" s="1148"/>
    </row>
    <row r="1140" spans="1:12" s="1130" customFormat="1">
      <c r="A1140" s="746"/>
      <c r="B1140" s="746"/>
      <c r="C1140" s="746"/>
      <c r="D1140" s="746"/>
      <c r="E1140" s="1143"/>
      <c r="F1140" s="1141"/>
      <c r="G1140" s="1141"/>
      <c r="H1140" s="1141"/>
      <c r="I1140" s="1144"/>
      <c r="J1140" s="1141"/>
      <c r="K1140" s="1141"/>
      <c r="L1140" s="1148"/>
    </row>
    <row r="1141" spans="1:12" s="1130" customFormat="1">
      <c r="A1141" s="746"/>
      <c r="B1141" s="746"/>
      <c r="C1141" s="746"/>
      <c r="D1141" s="746"/>
      <c r="E1141" s="1143"/>
      <c r="F1141" s="1141"/>
      <c r="G1141" s="1141"/>
      <c r="H1141" s="1141"/>
      <c r="I1141" s="1144"/>
      <c r="J1141" s="1141"/>
      <c r="K1141" s="1141"/>
      <c r="L1141" s="1148"/>
    </row>
    <row r="1142" spans="1:12" s="1130" customFormat="1">
      <c r="A1142" s="746"/>
      <c r="B1142" s="746"/>
      <c r="C1142" s="746"/>
      <c r="D1142" s="746"/>
      <c r="E1142" s="1143"/>
      <c r="F1142" s="1141"/>
      <c r="G1142" s="1141"/>
      <c r="H1142" s="1141"/>
      <c r="I1142" s="1144"/>
      <c r="J1142" s="1141"/>
      <c r="K1142" s="1141"/>
      <c r="L1142" s="1148"/>
    </row>
    <row r="1143" spans="1:12" s="1130" customFormat="1">
      <c r="A1143" s="746"/>
      <c r="B1143" s="746"/>
      <c r="C1143" s="746"/>
      <c r="D1143" s="746"/>
      <c r="E1143" s="1143"/>
      <c r="F1143" s="1141"/>
      <c r="G1143" s="1141"/>
      <c r="H1143" s="1141"/>
      <c r="I1143" s="1144"/>
      <c r="J1143" s="1141"/>
      <c r="K1143" s="1141"/>
      <c r="L1143" s="1148"/>
    </row>
    <row r="1144" spans="1:12" s="1130" customFormat="1">
      <c r="A1144" s="746"/>
      <c r="B1144" s="746"/>
      <c r="C1144" s="746"/>
      <c r="D1144" s="746"/>
      <c r="E1144" s="1143"/>
      <c r="F1144" s="1141"/>
      <c r="G1144" s="1141"/>
      <c r="H1144" s="1141"/>
      <c r="I1144" s="1144"/>
      <c r="J1144" s="1141"/>
      <c r="K1144" s="1141"/>
      <c r="L1144" s="1148"/>
    </row>
    <row r="1145" spans="1:12" s="1130" customFormat="1">
      <c r="A1145" s="746"/>
      <c r="B1145" s="746"/>
      <c r="C1145" s="746"/>
      <c r="D1145" s="746"/>
      <c r="E1145" s="1143"/>
      <c r="F1145" s="1141"/>
      <c r="G1145" s="1141"/>
      <c r="H1145" s="1141"/>
      <c r="I1145" s="1144"/>
      <c r="J1145" s="1141"/>
      <c r="K1145" s="1141"/>
      <c r="L1145" s="1148"/>
    </row>
    <row r="1146" spans="1:12" s="1130" customFormat="1">
      <c r="A1146" s="746"/>
      <c r="B1146" s="746"/>
      <c r="C1146" s="746"/>
      <c r="D1146" s="746"/>
      <c r="E1146" s="1143"/>
      <c r="F1146" s="1141"/>
      <c r="G1146" s="1141"/>
      <c r="H1146" s="1141"/>
      <c r="I1146" s="1144"/>
      <c r="J1146" s="1141"/>
      <c r="K1146" s="1141"/>
      <c r="L1146" s="1148"/>
    </row>
    <row r="1147" spans="1:12" s="1130" customFormat="1">
      <c r="A1147" s="746"/>
      <c r="B1147" s="746"/>
      <c r="C1147" s="746"/>
      <c r="D1147" s="746"/>
      <c r="E1147" s="1143"/>
      <c r="F1147" s="1141"/>
      <c r="G1147" s="1141"/>
      <c r="H1147" s="1141"/>
      <c r="I1147" s="1144"/>
      <c r="J1147" s="1141"/>
      <c r="K1147" s="1141"/>
      <c r="L1147" s="1148"/>
    </row>
    <row r="1148" spans="1:12" s="1130" customFormat="1">
      <c r="A1148" s="746"/>
      <c r="B1148" s="746"/>
      <c r="C1148" s="746"/>
      <c r="D1148" s="746"/>
      <c r="E1148" s="1143"/>
      <c r="F1148" s="1141"/>
      <c r="G1148" s="1141"/>
      <c r="H1148" s="1141"/>
      <c r="I1148" s="1144"/>
      <c r="J1148" s="1141"/>
      <c r="K1148" s="1141"/>
      <c r="L1148" s="1148"/>
    </row>
    <row r="1149" spans="1:12" s="1130" customFormat="1">
      <c r="A1149" s="746"/>
      <c r="B1149" s="746"/>
      <c r="C1149" s="746"/>
      <c r="D1149" s="746"/>
      <c r="E1149" s="1143"/>
      <c r="F1149" s="1141"/>
      <c r="G1149" s="1141"/>
      <c r="H1149" s="1141"/>
      <c r="I1149" s="1144"/>
      <c r="J1149" s="1141"/>
      <c r="K1149" s="1141"/>
      <c r="L1149" s="1148"/>
    </row>
    <row r="1150" spans="1:12" s="1130" customFormat="1">
      <c r="A1150" s="746"/>
      <c r="B1150" s="746"/>
      <c r="C1150" s="746"/>
      <c r="D1150" s="746"/>
      <c r="E1150" s="1143"/>
      <c r="F1150" s="1141"/>
      <c r="G1150" s="1141"/>
      <c r="H1150" s="1141"/>
      <c r="I1150" s="1144"/>
      <c r="J1150" s="1141"/>
      <c r="K1150" s="1141"/>
      <c r="L1150" s="1148"/>
    </row>
    <row r="1151" spans="1:12" s="1130" customFormat="1">
      <c r="A1151" s="746"/>
      <c r="B1151" s="746"/>
      <c r="C1151" s="746"/>
      <c r="D1151" s="746"/>
      <c r="E1151" s="1143"/>
      <c r="F1151" s="1141"/>
      <c r="G1151" s="1141"/>
      <c r="H1151" s="1141"/>
      <c r="I1151" s="1144"/>
      <c r="J1151" s="1141"/>
      <c r="K1151" s="1141"/>
      <c r="L1151" s="1148"/>
    </row>
    <row r="1152" spans="1:12" s="1130" customFormat="1">
      <c r="A1152" s="746"/>
      <c r="B1152" s="746"/>
      <c r="C1152" s="746"/>
      <c r="D1152" s="746"/>
      <c r="E1152" s="1143"/>
      <c r="F1152" s="1141"/>
      <c r="G1152" s="1141"/>
      <c r="H1152" s="1141"/>
      <c r="I1152" s="1144"/>
      <c r="J1152" s="1141"/>
      <c r="K1152" s="1141"/>
      <c r="L1152" s="1148"/>
    </row>
    <row r="1153" spans="1:81" s="1130" customFormat="1">
      <c r="A1153" s="746"/>
      <c r="B1153" s="746"/>
      <c r="C1153" s="746"/>
      <c r="D1153" s="746"/>
      <c r="E1153" s="1143"/>
      <c r="F1153" s="1141"/>
      <c r="G1153" s="1141"/>
      <c r="H1153" s="1141"/>
      <c r="I1153" s="1144"/>
      <c r="J1153" s="1141"/>
      <c r="K1153" s="1141"/>
      <c r="L1153" s="1148"/>
    </row>
    <row r="1154" spans="1:81" s="1130" customFormat="1">
      <c r="A1154" s="746"/>
      <c r="B1154" s="746"/>
      <c r="C1154" s="746"/>
      <c r="D1154" s="746"/>
      <c r="E1154" s="1143"/>
      <c r="F1154" s="1141"/>
      <c r="G1154" s="1141"/>
      <c r="H1154" s="1141"/>
      <c r="I1154" s="1144"/>
      <c r="J1154" s="1141"/>
      <c r="K1154" s="1141"/>
      <c r="L1154" s="1148"/>
    </row>
    <row r="1155" spans="1:81" s="1130" customFormat="1">
      <c r="A1155" s="746"/>
      <c r="B1155" s="746"/>
      <c r="C1155" s="746"/>
      <c r="D1155" s="746"/>
      <c r="E1155" s="1143"/>
      <c r="F1155" s="1141"/>
      <c r="G1155" s="1141"/>
      <c r="H1155" s="1141"/>
      <c r="I1155" s="1144"/>
      <c r="J1155" s="1141"/>
      <c r="K1155" s="1141"/>
      <c r="L1155" s="1148"/>
    </row>
    <row r="1156" spans="1:81" s="1130" customFormat="1">
      <c r="A1156" s="746"/>
      <c r="B1156" s="746"/>
      <c r="C1156" s="746"/>
      <c r="D1156" s="746"/>
      <c r="E1156" s="1143"/>
      <c r="F1156" s="1141"/>
      <c r="G1156" s="1141"/>
      <c r="H1156" s="1141"/>
      <c r="I1156" s="1144"/>
      <c r="J1156" s="1141"/>
      <c r="K1156" s="1141"/>
      <c r="L1156" s="1148"/>
    </row>
    <row r="1157" spans="1:81" s="1130" customFormat="1">
      <c r="A1157" s="746"/>
      <c r="B1157" s="746"/>
      <c r="C1157" s="746"/>
      <c r="D1157" s="746"/>
      <c r="E1157" s="1143"/>
      <c r="F1157" s="1141"/>
      <c r="G1157" s="1141"/>
      <c r="H1157" s="1141"/>
      <c r="I1157" s="1144"/>
      <c r="J1157" s="1141"/>
      <c r="K1157" s="1141"/>
      <c r="L1157" s="1148"/>
    </row>
    <row r="1158" spans="1:81" s="1130" customFormat="1">
      <c r="A1158" s="746"/>
      <c r="B1158" s="746"/>
      <c r="C1158" s="746"/>
      <c r="D1158" s="746"/>
      <c r="E1158" s="1143"/>
      <c r="F1158" s="1141"/>
      <c r="G1158" s="1141"/>
      <c r="H1158" s="1141"/>
      <c r="I1158" s="1144"/>
      <c r="J1158" s="1141"/>
      <c r="K1158" s="1141"/>
      <c r="L1158" s="1148"/>
    </row>
    <row r="1159" spans="1:81">
      <c r="A1159" s="746"/>
      <c r="B1159" s="746"/>
      <c r="C1159" s="746"/>
      <c r="D1159" s="746"/>
    </row>
    <row r="1160" spans="1:81">
      <c r="A1160" s="746"/>
      <c r="B1160" s="746"/>
      <c r="C1160" s="746"/>
      <c r="D1160" s="746"/>
    </row>
    <row r="1161" spans="1:81">
      <c r="A1161" s="746"/>
      <c r="B1161" s="746"/>
      <c r="C1161" s="746"/>
      <c r="D1161" s="746"/>
    </row>
    <row r="1162" spans="1:81">
      <c r="A1162" s="746"/>
      <c r="B1162" s="746"/>
      <c r="C1162" s="746"/>
      <c r="D1162" s="746"/>
    </row>
    <row r="1163" spans="1:81" s="1143" customFormat="1">
      <c r="A1163" s="746"/>
      <c r="B1163" s="746"/>
      <c r="C1163" s="746"/>
      <c r="D1163" s="746"/>
      <c r="F1163" s="1141"/>
      <c r="G1163" s="1141"/>
      <c r="H1163" s="1141"/>
      <c r="I1163" s="1144"/>
      <c r="J1163" s="1141"/>
      <c r="K1163" s="1141"/>
      <c r="L1163" s="1149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</row>
    <row r="1164" spans="1:81" s="1143" customFormat="1">
      <c r="A1164" s="746"/>
      <c r="B1164" s="746"/>
      <c r="C1164" s="746"/>
      <c r="D1164" s="746"/>
      <c r="F1164" s="1141"/>
      <c r="G1164" s="1141"/>
      <c r="H1164" s="1141"/>
      <c r="I1164" s="1144"/>
      <c r="J1164" s="1141"/>
      <c r="K1164" s="1141"/>
      <c r="L1164" s="1149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</row>
    <row r="1165" spans="1:81" s="1143" customFormat="1">
      <c r="A1165" s="746"/>
      <c r="B1165" s="746"/>
      <c r="C1165" s="746"/>
      <c r="D1165" s="746"/>
      <c r="F1165" s="1141"/>
      <c r="G1165" s="1141"/>
      <c r="H1165" s="1141"/>
      <c r="I1165" s="1144"/>
      <c r="J1165" s="1141"/>
      <c r="K1165" s="1141"/>
      <c r="L1165" s="1149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</row>
    <row r="1166" spans="1:81" s="1143" customFormat="1">
      <c r="A1166" s="1150"/>
      <c r="B1166" s="746"/>
      <c r="C1166" s="746"/>
      <c r="D1166" s="746"/>
      <c r="F1166" s="1141"/>
      <c r="G1166" s="1141"/>
      <c r="H1166" s="1141"/>
      <c r="I1166" s="1144"/>
      <c r="J1166" s="1141"/>
      <c r="K1166" s="1141"/>
      <c r="L1166" s="1149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</row>
    <row r="1167" spans="1:81" s="1143" customFormat="1">
      <c r="A1167" s="1150"/>
      <c r="B1167" s="746"/>
      <c r="C1167" s="746"/>
      <c r="D1167" s="746"/>
      <c r="F1167" s="1141"/>
      <c r="G1167" s="1141"/>
      <c r="H1167" s="1141"/>
      <c r="I1167" s="1144"/>
      <c r="J1167" s="1141"/>
      <c r="K1167" s="1141"/>
      <c r="L1167" s="1149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</row>
    <row r="1168" spans="1:81" s="1143" customFormat="1">
      <c r="A1168" s="1150"/>
      <c r="B1168" s="746"/>
      <c r="C1168" s="746"/>
      <c r="D1168" s="746"/>
      <c r="F1168" s="1141"/>
      <c r="G1168" s="1141"/>
      <c r="H1168" s="1141"/>
      <c r="I1168" s="1144"/>
      <c r="J1168" s="1141"/>
      <c r="K1168" s="1141"/>
      <c r="L1168" s="1149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</row>
    <row r="1169" spans="1:81" s="1143" customFormat="1">
      <c r="A1169" s="1150"/>
      <c r="B1169" s="746"/>
      <c r="C1169" s="746"/>
      <c r="D1169" s="746"/>
      <c r="F1169" s="1141"/>
      <c r="G1169" s="1141"/>
      <c r="H1169" s="1141"/>
      <c r="I1169" s="1144"/>
      <c r="J1169" s="1141"/>
      <c r="K1169" s="1141"/>
      <c r="L1169" s="1149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</row>
  </sheetData>
  <sheetProtection algorithmName="SHA-512" hashValue="yAicTfMp905elmSqn5/LJ67NxD3R/kdWhY0v6ns7N4XEO/wmnExaidveK4Gc6TxFXfkKKve4/pVxTq/pRLfhqQ==" saltValue="pG8/RXPiX4IDs33V71kV9A==" spinCount="100000" sheet="1" objects="1" scenarios="1"/>
  <mergeCells count="273">
    <mergeCell ref="A634:C634"/>
    <mergeCell ref="A636:C636"/>
    <mergeCell ref="A637:C637"/>
    <mergeCell ref="D1:J1"/>
    <mergeCell ref="B621:C621"/>
    <mergeCell ref="B625:C625"/>
    <mergeCell ref="B627:C627"/>
    <mergeCell ref="B629:C629"/>
    <mergeCell ref="A630:C630"/>
    <mergeCell ref="A633:C633"/>
    <mergeCell ref="B605:C605"/>
    <mergeCell ref="B607:C607"/>
    <mergeCell ref="A608:A618"/>
    <mergeCell ref="B609:C609"/>
    <mergeCell ref="B610:B613"/>
    <mergeCell ref="B614:C614"/>
    <mergeCell ref="B616:C616"/>
    <mergeCell ref="B618:C618"/>
    <mergeCell ref="B595:C595"/>
    <mergeCell ref="A596:A602"/>
    <mergeCell ref="B597:C597"/>
    <mergeCell ref="B598:B601"/>
    <mergeCell ref="D598:D601"/>
    <mergeCell ref="B602:C602"/>
    <mergeCell ref="B585:C585"/>
    <mergeCell ref="B587:C587"/>
    <mergeCell ref="B588:B590"/>
    <mergeCell ref="B591:C591"/>
    <mergeCell ref="B593:C593"/>
    <mergeCell ref="B571:C571"/>
    <mergeCell ref="B573:C573"/>
    <mergeCell ref="B575:C575"/>
    <mergeCell ref="B578:C578"/>
    <mergeCell ref="B580:C580"/>
    <mergeCell ref="B581:B584"/>
    <mergeCell ref="C588:C590"/>
    <mergeCell ref="B553:C553"/>
    <mergeCell ref="B558:C558"/>
    <mergeCell ref="B560:C560"/>
    <mergeCell ref="B562:C562"/>
    <mergeCell ref="B564:C564"/>
    <mergeCell ref="B568:C568"/>
    <mergeCell ref="B534:C534"/>
    <mergeCell ref="D540:D542"/>
    <mergeCell ref="B544:C544"/>
    <mergeCell ref="A547:A550"/>
    <mergeCell ref="B548:C548"/>
    <mergeCell ref="B550:C550"/>
    <mergeCell ref="B515:C515"/>
    <mergeCell ref="B517:C517"/>
    <mergeCell ref="B520:C520"/>
    <mergeCell ref="B522:C522"/>
    <mergeCell ref="C523:C524"/>
    <mergeCell ref="B532:C532"/>
    <mergeCell ref="D497:D498"/>
    <mergeCell ref="C500:C501"/>
    <mergeCell ref="B504:C504"/>
    <mergeCell ref="B505:B508"/>
    <mergeCell ref="B511:C511"/>
    <mergeCell ref="B512:B513"/>
    <mergeCell ref="C513:C514"/>
    <mergeCell ref="B477:B485"/>
    <mergeCell ref="C477:C483"/>
    <mergeCell ref="B487:C487"/>
    <mergeCell ref="B489:C489"/>
    <mergeCell ref="D490:D491"/>
    <mergeCell ref="D492:D493"/>
    <mergeCell ref="B458:C458"/>
    <mergeCell ref="B460:C460"/>
    <mergeCell ref="B467:C467"/>
    <mergeCell ref="B471:C471"/>
    <mergeCell ref="B474:C474"/>
    <mergeCell ref="B476:C476"/>
    <mergeCell ref="B447:C447"/>
    <mergeCell ref="B448:B449"/>
    <mergeCell ref="B450:C450"/>
    <mergeCell ref="B452:C452"/>
    <mergeCell ref="B454:C454"/>
    <mergeCell ref="B456:C456"/>
    <mergeCell ref="B435:C435"/>
    <mergeCell ref="B438:C438"/>
    <mergeCell ref="B439:C439"/>
    <mergeCell ref="B440:B441"/>
    <mergeCell ref="B443:C443"/>
    <mergeCell ref="B444:C444"/>
    <mergeCell ref="B421:C421"/>
    <mergeCell ref="B422:B423"/>
    <mergeCell ref="B426:C426"/>
    <mergeCell ref="B427:B428"/>
    <mergeCell ref="B429:C429"/>
    <mergeCell ref="B434:C434"/>
    <mergeCell ref="B399:C399"/>
    <mergeCell ref="C400:C404"/>
    <mergeCell ref="B408:C408"/>
    <mergeCell ref="B410:C410"/>
    <mergeCell ref="B412:C412"/>
    <mergeCell ref="B414:C414"/>
    <mergeCell ref="B382:C382"/>
    <mergeCell ref="C383:C384"/>
    <mergeCell ref="D387:D388"/>
    <mergeCell ref="D389:D391"/>
    <mergeCell ref="D392:D394"/>
    <mergeCell ref="B397:C397"/>
    <mergeCell ref="B366:C366"/>
    <mergeCell ref="B368:C368"/>
    <mergeCell ref="B370:C370"/>
    <mergeCell ref="B372:C372"/>
    <mergeCell ref="C373:C376"/>
    <mergeCell ref="B380:C380"/>
    <mergeCell ref="B349:C349"/>
    <mergeCell ref="B355:C355"/>
    <mergeCell ref="B356:B357"/>
    <mergeCell ref="B358:C358"/>
    <mergeCell ref="B363:C363"/>
    <mergeCell ref="B364:B365"/>
    <mergeCell ref="D332:D333"/>
    <mergeCell ref="B335:C335"/>
    <mergeCell ref="D338:D339"/>
    <mergeCell ref="D340:D341"/>
    <mergeCell ref="B343:C343"/>
    <mergeCell ref="B344:B348"/>
    <mergeCell ref="B320:C320"/>
    <mergeCell ref="B322:C322"/>
    <mergeCell ref="B324:C324"/>
    <mergeCell ref="B326:C326"/>
    <mergeCell ref="B328:C328"/>
    <mergeCell ref="D329:D330"/>
    <mergeCell ref="B309:C309"/>
    <mergeCell ref="B311:C311"/>
    <mergeCell ref="B312:B313"/>
    <mergeCell ref="B314:C314"/>
    <mergeCell ref="B316:C316"/>
    <mergeCell ref="B317:C317"/>
    <mergeCell ref="B297:C297"/>
    <mergeCell ref="B299:C299"/>
    <mergeCell ref="B301:C301"/>
    <mergeCell ref="B302:B303"/>
    <mergeCell ref="B304:C304"/>
    <mergeCell ref="B307:C307"/>
    <mergeCell ref="A284:A294"/>
    <mergeCell ref="B285:C285"/>
    <mergeCell ref="B286:B288"/>
    <mergeCell ref="B289:C289"/>
    <mergeCell ref="B291:C291"/>
    <mergeCell ref="B292:B293"/>
    <mergeCell ref="B294:C294"/>
    <mergeCell ref="D267:D268"/>
    <mergeCell ref="B274:C274"/>
    <mergeCell ref="B276:C276"/>
    <mergeCell ref="B279:C279"/>
    <mergeCell ref="B280:B281"/>
    <mergeCell ref="B282:C282"/>
    <mergeCell ref="D246:D248"/>
    <mergeCell ref="D249:D253"/>
    <mergeCell ref="D254:D255"/>
    <mergeCell ref="D256:D257"/>
    <mergeCell ref="D258:D260"/>
    <mergeCell ref="B264:C264"/>
    <mergeCell ref="B234:C234"/>
    <mergeCell ref="B236:C236"/>
    <mergeCell ref="B238:C238"/>
    <mergeCell ref="B240:C240"/>
    <mergeCell ref="B242:C242"/>
    <mergeCell ref="D244:D245"/>
    <mergeCell ref="B220:C220"/>
    <mergeCell ref="B224:C224"/>
    <mergeCell ref="B227:C227"/>
    <mergeCell ref="B229:C229"/>
    <mergeCell ref="B230:B231"/>
    <mergeCell ref="B232:C232"/>
    <mergeCell ref="D195:D196"/>
    <mergeCell ref="B198:C198"/>
    <mergeCell ref="B201:C201"/>
    <mergeCell ref="B204:C204"/>
    <mergeCell ref="B206:C206"/>
    <mergeCell ref="B207:B217"/>
    <mergeCell ref="C207:C216"/>
    <mergeCell ref="B182:C182"/>
    <mergeCell ref="B185:C185"/>
    <mergeCell ref="B187:C187"/>
    <mergeCell ref="B188:B190"/>
    <mergeCell ref="C189:C190"/>
    <mergeCell ref="A190:A198"/>
    <mergeCell ref="B191:C191"/>
    <mergeCell ref="B193:C193"/>
    <mergeCell ref="B194:B197"/>
    <mergeCell ref="B169:C169"/>
    <mergeCell ref="B171:C171"/>
    <mergeCell ref="B173:C173"/>
    <mergeCell ref="A175:A178"/>
    <mergeCell ref="B176:C176"/>
    <mergeCell ref="B178:C178"/>
    <mergeCell ref="L154:L156"/>
    <mergeCell ref="B157:C157"/>
    <mergeCell ref="B159:C159"/>
    <mergeCell ref="B161:C161"/>
    <mergeCell ref="B163:C163"/>
    <mergeCell ref="C164:C165"/>
    <mergeCell ref="B143:C143"/>
    <mergeCell ref="B144:B147"/>
    <mergeCell ref="B148:C148"/>
    <mergeCell ref="B153:C153"/>
    <mergeCell ref="B154:B156"/>
    <mergeCell ref="C154:C156"/>
    <mergeCell ref="B128:C128"/>
    <mergeCell ref="A130:A140"/>
    <mergeCell ref="B131:C131"/>
    <mergeCell ref="B132:B135"/>
    <mergeCell ref="B136:C136"/>
    <mergeCell ref="B138:C138"/>
    <mergeCell ref="B140:C140"/>
    <mergeCell ref="B109:C109"/>
    <mergeCell ref="D110:D111"/>
    <mergeCell ref="B120:C120"/>
    <mergeCell ref="B122:C122"/>
    <mergeCell ref="B124:C124"/>
    <mergeCell ref="B126:B127"/>
    <mergeCell ref="B96:C96"/>
    <mergeCell ref="B98:C98"/>
    <mergeCell ref="B99:B100"/>
    <mergeCell ref="B101:C101"/>
    <mergeCell ref="B103:C103"/>
    <mergeCell ref="B104:B108"/>
    <mergeCell ref="C104:C106"/>
    <mergeCell ref="C71:C72"/>
    <mergeCell ref="B78:C78"/>
    <mergeCell ref="B82:C82"/>
    <mergeCell ref="B84:C84"/>
    <mergeCell ref="B90:C90"/>
    <mergeCell ref="B93:B95"/>
    <mergeCell ref="B54:B56"/>
    <mergeCell ref="B57:C57"/>
    <mergeCell ref="D58:D59"/>
    <mergeCell ref="B61:C61"/>
    <mergeCell ref="B66:C66"/>
    <mergeCell ref="B69:C69"/>
    <mergeCell ref="L43:L44"/>
    <mergeCell ref="B45:C45"/>
    <mergeCell ref="A47:A50"/>
    <mergeCell ref="B48:C48"/>
    <mergeCell ref="B50:C50"/>
    <mergeCell ref="B53:C53"/>
    <mergeCell ref="B27:B28"/>
    <mergeCell ref="B31:C31"/>
    <mergeCell ref="B34:C34"/>
    <mergeCell ref="B39:C39"/>
    <mergeCell ref="A41:A45"/>
    <mergeCell ref="B42:C42"/>
    <mergeCell ref="B43:B44"/>
    <mergeCell ref="B15:C15"/>
    <mergeCell ref="B18:C18"/>
    <mergeCell ref="B20:B23"/>
    <mergeCell ref="L20:L21"/>
    <mergeCell ref="B24:C24"/>
    <mergeCell ref="B26:C26"/>
    <mergeCell ref="I6:I7"/>
    <mergeCell ref="J6:J7"/>
    <mergeCell ref="K6:K7"/>
    <mergeCell ref="L6:L7"/>
    <mergeCell ref="B11:C11"/>
    <mergeCell ref="B12:B14"/>
    <mergeCell ref="C12:C14"/>
    <mergeCell ref="L12:L14"/>
    <mergeCell ref="A2:L2"/>
    <mergeCell ref="A3:E3"/>
    <mergeCell ref="A6:A7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300" verticalDpi="300" r:id="rId1"/>
  <headerFooter>
    <oddFooter>Strona &amp;P z &amp;N</oddFooter>
  </headerFooter>
  <rowBreaks count="5" manualBreakCount="5">
    <brk id="66" max="10" man="1"/>
    <brk id="240" max="10" man="1"/>
    <brk id="360" max="10" man="1"/>
    <brk id="458" max="10" man="1"/>
    <brk id="618" max="10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5BAD-C553-4747-AB93-FD6D6D944BF1}">
  <sheetPr>
    <pageSetUpPr fitToPage="1"/>
  </sheetPr>
  <dimension ref="A1:P534"/>
  <sheetViews>
    <sheetView view="pageBreakPreview" topLeftCell="A16" zoomScale="90" zoomScaleNormal="100" zoomScaleSheetLayoutView="90" workbookViewId="0">
      <selection activeCell="R6" sqref="R6"/>
    </sheetView>
  </sheetViews>
  <sheetFormatPr defaultRowHeight="12.75"/>
  <cols>
    <col min="1" max="1" width="9.140625" style="1194"/>
    <col min="2" max="2" width="11" style="1194" customWidth="1"/>
    <col min="3" max="3" width="11.140625" style="1194" customWidth="1"/>
    <col min="4" max="4" width="9.140625" style="1194"/>
    <col min="5" max="5" width="10.5703125" style="1194" customWidth="1"/>
    <col min="6" max="6" width="12.5703125" style="1194" customWidth="1"/>
    <col min="7" max="7" width="13.5703125" style="1194" customWidth="1"/>
    <col min="8" max="8" width="18.85546875" style="1194" customWidth="1"/>
    <col min="9" max="9" width="12.5703125" style="1194" customWidth="1"/>
    <col min="10" max="10" width="13" style="1194" customWidth="1"/>
    <col min="11" max="11" width="15.140625" style="1194" customWidth="1"/>
    <col min="12" max="256" width="9.140625" style="1194"/>
    <col min="257" max="257" width="11" style="1194" customWidth="1"/>
    <col min="258" max="258" width="11.140625" style="1194" customWidth="1"/>
    <col min="259" max="259" width="9.140625" style="1194"/>
    <col min="260" max="260" width="10.5703125" style="1194" customWidth="1"/>
    <col min="261" max="261" width="11.42578125" style="1194" customWidth="1"/>
    <col min="262" max="262" width="12.85546875" style="1194" customWidth="1"/>
    <col min="263" max="263" width="18.85546875" style="1194" customWidth="1"/>
    <col min="264" max="264" width="12" style="1194" customWidth="1"/>
    <col min="265" max="265" width="13" style="1194" customWidth="1"/>
    <col min="266" max="266" width="15.140625" style="1194" customWidth="1"/>
    <col min="267" max="512" width="9.140625" style="1194"/>
    <col min="513" max="513" width="11" style="1194" customWidth="1"/>
    <col min="514" max="514" width="11.140625" style="1194" customWidth="1"/>
    <col min="515" max="515" width="9.140625" style="1194"/>
    <col min="516" max="516" width="10.5703125" style="1194" customWidth="1"/>
    <col min="517" max="517" width="11.42578125" style="1194" customWidth="1"/>
    <col min="518" max="518" width="12.85546875" style="1194" customWidth="1"/>
    <col min="519" max="519" width="18.85546875" style="1194" customWidth="1"/>
    <col min="520" max="520" width="12" style="1194" customWidth="1"/>
    <col min="521" max="521" width="13" style="1194" customWidth="1"/>
    <col min="522" max="522" width="15.140625" style="1194" customWidth="1"/>
    <col min="523" max="768" width="9.140625" style="1194"/>
    <col min="769" max="769" width="11" style="1194" customWidth="1"/>
    <col min="770" max="770" width="11.140625" style="1194" customWidth="1"/>
    <col min="771" max="771" width="9.140625" style="1194"/>
    <col min="772" max="772" width="10.5703125" style="1194" customWidth="1"/>
    <col min="773" max="773" width="11.42578125" style="1194" customWidth="1"/>
    <col min="774" max="774" width="12.85546875" style="1194" customWidth="1"/>
    <col min="775" max="775" width="18.85546875" style="1194" customWidth="1"/>
    <col min="776" max="776" width="12" style="1194" customWidth="1"/>
    <col min="777" max="777" width="13" style="1194" customWidth="1"/>
    <col min="778" max="778" width="15.140625" style="1194" customWidth="1"/>
    <col min="779" max="1024" width="9.140625" style="1194"/>
    <col min="1025" max="1025" width="11" style="1194" customWidth="1"/>
    <col min="1026" max="1026" width="11.140625" style="1194" customWidth="1"/>
    <col min="1027" max="1027" width="9.140625" style="1194"/>
    <col min="1028" max="1028" width="10.5703125" style="1194" customWidth="1"/>
    <col min="1029" max="1029" width="11.42578125" style="1194" customWidth="1"/>
    <col min="1030" max="1030" width="12.85546875" style="1194" customWidth="1"/>
    <col min="1031" max="1031" width="18.85546875" style="1194" customWidth="1"/>
    <col min="1032" max="1032" width="12" style="1194" customWidth="1"/>
    <col min="1033" max="1033" width="13" style="1194" customWidth="1"/>
    <col min="1034" max="1034" width="15.140625" style="1194" customWidth="1"/>
    <col min="1035" max="1280" width="9.140625" style="1194"/>
    <col min="1281" max="1281" width="11" style="1194" customWidth="1"/>
    <col min="1282" max="1282" width="11.140625" style="1194" customWidth="1"/>
    <col min="1283" max="1283" width="9.140625" style="1194"/>
    <col min="1284" max="1284" width="10.5703125" style="1194" customWidth="1"/>
    <col min="1285" max="1285" width="11.42578125" style="1194" customWidth="1"/>
    <col min="1286" max="1286" width="12.85546875" style="1194" customWidth="1"/>
    <col min="1287" max="1287" width="18.85546875" style="1194" customWidth="1"/>
    <col min="1288" max="1288" width="12" style="1194" customWidth="1"/>
    <col min="1289" max="1289" width="13" style="1194" customWidth="1"/>
    <col min="1290" max="1290" width="15.140625" style="1194" customWidth="1"/>
    <col min="1291" max="1536" width="9.140625" style="1194"/>
    <col min="1537" max="1537" width="11" style="1194" customWidth="1"/>
    <col min="1538" max="1538" width="11.140625" style="1194" customWidth="1"/>
    <col min="1539" max="1539" width="9.140625" style="1194"/>
    <col min="1540" max="1540" width="10.5703125" style="1194" customWidth="1"/>
    <col min="1541" max="1541" width="11.42578125" style="1194" customWidth="1"/>
    <col min="1542" max="1542" width="12.85546875" style="1194" customWidth="1"/>
    <col min="1543" max="1543" width="18.85546875" style="1194" customWidth="1"/>
    <col min="1544" max="1544" width="12" style="1194" customWidth="1"/>
    <col min="1545" max="1545" width="13" style="1194" customWidth="1"/>
    <col min="1546" max="1546" width="15.140625" style="1194" customWidth="1"/>
    <col min="1547" max="1792" width="9.140625" style="1194"/>
    <col min="1793" max="1793" width="11" style="1194" customWidth="1"/>
    <col min="1794" max="1794" width="11.140625" style="1194" customWidth="1"/>
    <col min="1795" max="1795" width="9.140625" style="1194"/>
    <col min="1796" max="1796" width="10.5703125" style="1194" customWidth="1"/>
    <col min="1797" max="1797" width="11.42578125" style="1194" customWidth="1"/>
    <col min="1798" max="1798" width="12.85546875" style="1194" customWidth="1"/>
    <col min="1799" max="1799" width="18.85546875" style="1194" customWidth="1"/>
    <col min="1800" max="1800" width="12" style="1194" customWidth="1"/>
    <col min="1801" max="1801" width="13" style="1194" customWidth="1"/>
    <col min="1802" max="1802" width="15.140625" style="1194" customWidth="1"/>
    <col min="1803" max="2048" width="9.140625" style="1194"/>
    <col min="2049" max="2049" width="11" style="1194" customWidth="1"/>
    <col min="2050" max="2050" width="11.140625" style="1194" customWidth="1"/>
    <col min="2051" max="2051" width="9.140625" style="1194"/>
    <col min="2052" max="2052" width="10.5703125" style="1194" customWidth="1"/>
    <col min="2053" max="2053" width="11.42578125" style="1194" customWidth="1"/>
    <col min="2054" max="2054" width="12.85546875" style="1194" customWidth="1"/>
    <col min="2055" max="2055" width="18.85546875" style="1194" customWidth="1"/>
    <col min="2056" max="2056" width="12" style="1194" customWidth="1"/>
    <col min="2057" max="2057" width="13" style="1194" customWidth="1"/>
    <col min="2058" max="2058" width="15.140625" style="1194" customWidth="1"/>
    <col min="2059" max="2304" width="9.140625" style="1194"/>
    <col min="2305" max="2305" width="11" style="1194" customWidth="1"/>
    <col min="2306" max="2306" width="11.140625" style="1194" customWidth="1"/>
    <col min="2307" max="2307" width="9.140625" style="1194"/>
    <col min="2308" max="2308" width="10.5703125" style="1194" customWidth="1"/>
    <col min="2309" max="2309" width="11.42578125" style="1194" customWidth="1"/>
    <col min="2310" max="2310" width="12.85546875" style="1194" customWidth="1"/>
    <col min="2311" max="2311" width="18.85546875" style="1194" customWidth="1"/>
    <col min="2312" max="2312" width="12" style="1194" customWidth="1"/>
    <col min="2313" max="2313" width="13" style="1194" customWidth="1"/>
    <col min="2314" max="2314" width="15.140625" style="1194" customWidth="1"/>
    <col min="2315" max="2560" width="9.140625" style="1194"/>
    <col min="2561" max="2561" width="11" style="1194" customWidth="1"/>
    <col min="2562" max="2562" width="11.140625" style="1194" customWidth="1"/>
    <col min="2563" max="2563" width="9.140625" style="1194"/>
    <col min="2564" max="2564" width="10.5703125" style="1194" customWidth="1"/>
    <col min="2565" max="2565" width="11.42578125" style="1194" customWidth="1"/>
    <col min="2566" max="2566" width="12.85546875" style="1194" customWidth="1"/>
    <col min="2567" max="2567" width="18.85546875" style="1194" customWidth="1"/>
    <col min="2568" max="2568" width="12" style="1194" customWidth="1"/>
    <col min="2569" max="2569" width="13" style="1194" customWidth="1"/>
    <col min="2570" max="2570" width="15.140625" style="1194" customWidth="1"/>
    <col min="2571" max="2816" width="9.140625" style="1194"/>
    <col min="2817" max="2817" width="11" style="1194" customWidth="1"/>
    <col min="2818" max="2818" width="11.140625" style="1194" customWidth="1"/>
    <col min="2819" max="2819" width="9.140625" style="1194"/>
    <col min="2820" max="2820" width="10.5703125" style="1194" customWidth="1"/>
    <col min="2821" max="2821" width="11.42578125" style="1194" customWidth="1"/>
    <col min="2822" max="2822" width="12.85546875" style="1194" customWidth="1"/>
    <col min="2823" max="2823" width="18.85546875" style="1194" customWidth="1"/>
    <col min="2824" max="2824" width="12" style="1194" customWidth="1"/>
    <col min="2825" max="2825" width="13" style="1194" customWidth="1"/>
    <col min="2826" max="2826" width="15.140625" style="1194" customWidth="1"/>
    <col min="2827" max="3072" width="9.140625" style="1194"/>
    <col min="3073" max="3073" width="11" style="1194" customWidth="1"/>
    <col min="3074" max="3074" width="11.140625" style="1194" customWidth="1"/>
    <col min="3075" max="3075" width="9.140625" style="1194"/>
    <col min="3076" max="3076" width="10.5703125" style="1194" customWidth="1"/>
    <col min="3077" max="3077" width="11.42578125" style="1194" customWidth="1"/>
    <col min="3078" max="3078" width="12.85546875" style="1194" customWidth="1"/>
    <col min="3079" max="3079" width="18.85546875" style="1194" customWidth="1"/>
    <col min="3080" max="3080" width="12" style="1194" customWidth="1"/>
    <col min="3081" max="3081" width="13" style="1194" customWidth="1"/>
    <col min="3082" max="3082" width="15.140625" style="1194" customWidth="1"/>
    <col min="3083" max="3328" width="9.140625" style="1194"/>
    <col min="3329" max="3329" width="11" style="1194" customWidth="1"/>
    <col min="3330" max="3330" width="11.140625" style="1194" customWidth="1"/>
    <col min="3331" max="3331" width="9.140625" style="1194"/>
    <col min="3332" max="3332" width="10.5703125" style="1194" customWidth="1"/>
    <col min="3333" max="3333" width="11.42578125" style="1194" customWidth="1"/>
    <col min="3334" max="3334" width="12.85546875" style="1194" customWidth="1"/>
    <col min="3335" max="3335" width="18.85546875" style="1194" customWidth="1"/>
    <col min="3336" max="3336" width="12" style="1194" customWidth="1"/>
    <col min="3337" max="3337" width="13" style="1194" customWidth="1"/>
    <col min="3338" max="3338" width="15.140625" style="1194" customWidth="1"/>
    <col min="3339" max="3584" width="9.140625" style="1194"/>
    <col min="3585" max="3585" width="11" style="1194" customWidth="1"/>
    <col min="3586" max="3586" width="11.140625" style="1194" customWidth="1"/>
    <col min="3587" max="3587" width="9.140625" style="1194"/>
    <col min="3588" max="3588" width="10.5703125" style="1194" customWidth="1"/>
    <col min="3589" max="3589" width="11.42578125" style="1194" customWidth="1"/>
    <col min="3590" max="3590" width="12.85546875" style="1194" customWidth="1"/>
    <col min="3591" max="3591" width="18.85546875" style="1194" customWidth="1"/>
    <col min="3592" max="3592" width="12" style="1194" customWidth="1"/>
    <col min="3593" max="3593" width="13" style="1194" customWidth="1"/>
    <col min="3594" max="3594" width="15.140625" style="1194" customWidth="1"/>
    <col min="3595" max="3840" width="9.140625" style="1194"/>
    <col min="3841" max="3841" width="11" style="1194" customWidth="1"/>
    <col min="3842" max="3842" width="11.140625" style="1194" customWidth="1"/>
    <col min="3843" max="3843" width="9.140625" style="1194"/>
    <col min="3844" max="3844" width="10.5703125" style="1194" customWidth="1"/>
    <col min="3845" max="3845" width="11.42578125" style="1194" customWidth="1"/>
    <col min="3846" max="3846" width="12.85546875" style="1194" customWidth="1"/>
    <col min="3847" max="3847" width="18.85546875" style="1194" customWidth="1"/>
    <col min="3848" max="3848" width="12" style="1194" customWidth="1"/>
    <col min="3849" max="3849" width="13" style="1194" customWidth="1"/>
    <col min="3850" max="3850" width="15.140625" style="1194" customWidth="1"/>
    <col min="3851" max="4096" width="9.140625" style="1194"/>
    <col min="4097" max="4097" width="11" style="1194" customWidth="1"/>
    <col min="4098" max="4098" width="11.140625" style="1194" customWidth="1"/>
    <col min="4099" max="4099" width="9.140625" style="1194"/>
    <col min="4100" max="4100" width="10.5703125" style="1194" customWidth="1"/>
    <col min="4101" max="4101" width="11.42578125" style="1194" customWidth="1"/>
    <col min="4102" max="4102" width="12.85546875" style="1194" customWidth="1"/>
    <col min="4103" max="4103" width="18.85546875" style="1194" customWidth="1"/>
    <col min="4104" max="4104" width="12" style="1194" customWidth="1"/>
    <col min="4105" max="4105" width="13" style="1194" customWidth="1"/>
    <col min="4106" max="4106" width="15.140625" style="1194" customWidth="1"/>
    <col min="4107" max="4352" width="9.140625" style="1194"/>
    <col min="4353" max="4353" width="11" style="1194" customWidth="1"/>
    <col min="4354" max="4354" width="11.140625" style="1194" customWidth="1"/>
    <col min="4355" max="4355" width="9.140625" style="1194"/>
    <col min="4356" max="4356" width="10.5703125" style="1194" customWidth="1"/>
    <col min="4357" max="4357" width="11.42578125" style="1194" customWidth="1"/>
    <col min="4358" max="4358" width="12.85546875" style="1194" customWidth="1"/>
    <col min="4359" max="4359" width="18.85546875" style="1194" customWidth="1"/>
    <col min="4360" max="4360" width="12" style="1194" customWidth="1"/>
    <col min="4361" max="4361" width="13" style="1194" customWidth="1"/>
    <col min="4362" max="4362" width="15.140625" style="1194" customWidth="1"/>
    <col min="4363" max="4608" width="9.140625" style="1194"/>
    <col min="4609" max="4609" width="11" style="1194" customWidth="1"/>
    <col min="4610" max="4610" width="11.140625" style="1194" customWidth="1"/>
    <col min="4611" max="4611" width="9.140625" style="1194"/>
    <col min="4612" max="4612" width="10.5703125" style="1194" customWidth="1"/>
    <col min="4613" max="4613" width="11.42578125" style="1194" customWidth="1"/>
    <col min="4614" max="4614" width="12.85546875" style="1194" customWidth="1"/>
    <col min="4615" max="4615" width="18.85546875" style="1194" customWidth="1"/>
    <col min="4616" max="4616" width="12" style="1194" customWidth="1"/>
    <col min="4617" max="4617" width="13" style="1194" customWidth="1"/>
    <col min="4618" max="4618" width="15.140625" style="1194" customWidth="1"/>
    <col min="4619" max="4864" width="9.140625" style="1194"/>
    <col min="4865" max="4865" width="11" style="1194" customWidth="1"/>
    <col min="4866" max="4866" width="11.140625" style="1194" customWidth="1"/>
    <col min="4867" max="4867" width="9.140625" style="1194"/>
    <col min="4868" max="4868" width="10.5703125" style="1194" customWidth="1"/>
    <col min="4869" max="4869" width="11.42578125" style="1194" customWidth="1"/>
    <col min="4870" max="4870" width="12.85546875" style="1194" customWidth="1"/>
    <col min="4871" max="4871" width="18.85546875" style="1194" customWidth="1"/>
    <col min="4872" max="4872" width="12" style="1194" customWidth="1"/>
    <col min="4873" max="4873" width="13" style="1194" customWidth="1"/>
    <col min="4874" max="4874" width="15.140625" style="1194" customWidth="1"/>
    <col min="4875" max="5120" width="9.140625" style="1194"/>
    <col min="5121" max="5121" width="11" style="1194" customWidth="1"/>
    <col min="5122" max="5122" width="11.140625" style="1194" customWidth="1"/>
    <col min="5123" max="5123" width="9.140625" style="1194"/>
    <col min="5124" max="5124" width="10.5703125" style="1194" customWidth="1"/>
    <col min="5125" max="5125" width="11.42578125" style="1194" customWidth="1"/>
    <col min="5126" max="5126" width="12.85546875" style="1194" customWidth="1"/>
    <col min="5127" max="5127" width="18.85546875" style="1194" customWidth="1"/>
    <col min="5128" max="5128" width="12" style="1194" customWidth="1"/>
    <col min="5129" max="5129" width="13" style="1194" customWidth="1"/>
    <col min="5130" max="5130" width="15.140625" style="1194" customWidth="1"/>
    <col min="5131" max="5376" width="9.140625" style="1194"/>
    <col min="5377" max="5377" width="11" style="1194" customWidth="1"/>
    <col min="5378" max="5378" width="11.140625" style="1194" customWidth="1"/>
    <col min="5379" max="5379" width="9.140625" style="1194"/>
    <col min="5380" max="5380" width="10.5703125" style="1194" customWidth="1"/>
    <col min="5381" max="5381" width="11.42578125" style="1194" customWidth="1"/>
    <col min="5382" max="5382" width="12.85546875" style="1194" customWidth="1"/>
    <col min="5383" max="5383" width="18.85546875" style="1194" customWidth="1"/>
    <col min="5384" max="5384" width="12" style="1194" customWidth="1"/>
    <col min="5385" max="5385" width="13" style="1194" customWidth="1"/>
    <col min="5386" max="5386" width="15.140625" style="1194" customWidth="1"/>
    <col min="5387" max="5632" width="9.140625" style="1194"/>
    <col min="5633" max="5633" width="11" style="1194" customWidth="1"/>
    <col min="5634" max="5634" width="11.140625" style="1194" customWidth="1"/>
    <col min="5635" max="5635" width="9.140625" style="1194"/>
    <col min="5636" max="5636" width="10.5703125" style="1194" customWidth="1"/>
    <col min="5637" max="5637" width="11.42578125" style="1194" customWidth="1"/>
    <col min="5638" max="5638" width="12.85546875" style="1194" customWidth="1"/>
    <col min="5639" max="5639" width="18.85546875" style="1194" customWidth="1"/>
    <col min="5640" max="5640" width="12" style="1194" customWidth="1"/>
    <col min="5641" max="5641" width="13" style="1194" customWidth="1"/>
    <col min="5642" max="5642" width="15.140625" style="1194" customWidth="1"/>
    <col min="5643" max="5888" width="9.140625" style="1194"/>
    <col min="5889" max="5889" width="11" style="1194" customWidth="1"/>
    <col min="5890" max="5890" width="11.140625" style="1194" customWidth="1"/>
    <col min="5891" max="5891" width="9.140625" style="1194"/>
    <col min="5892" max="5892" width="10.5703125" style="1194" customWidth="1"/>
    <col min="5893" max="5893" width="11.42578125" style="1194" customWidth="1"/>
    <col min="5894" max="5894" width="12.85546875" style="1194" customWidth="1"/>
    <col min="5895" max="5895" width="18.85546875" style="1194" customWidth="1"/>
    <col min="5896" max="5896" width="12" style="1194" customWidth="1"/>
    <col min="5897" max="5897" width="13" style="1194" customWidth="1"/>
    <col min="5898" max="5898" width="15.140625" style="1194" customWidth="1"/>
    <col min="5899" max="6144" width="9.140625" style="1194"/>
    <col min="6145" max="6145" width="11" style="1194" customWidth="1"/>
    <col min="6146" max="6146" width="11.140625" style="1194" customWidth="1"/>
    <col min="6147" max="6147" width="9.140625" style="1194"/>
    <col min="6148" max="6148" width="10.5703125" style="1194" customWidth="1"/>
    <col min="6149" max="6149" width="11.42578125" style="1194" customWidth="1"/>
    <col min="6150" max="6150" width="12.85546875" style="1194" customWidth="1"/>
    <col min="6151" max="6151" width="18.85546875" style="1194" customWidth="1"/>
    <col min="6152" max="6152" width="12" style="1194" customWidth="1"/>
    <col min="6153" max="6153" width="13" style="1194" customWidth="1"/>
    <col min="6154" max="6154" width="15.140625" style="1194" customWidth="1"/>
    <col min="6155" max="6400" width="9.140625" style="1194"/>
    <col min="6401" max="6401" width="11" style="1194" customWidth="1"/>
    <col min="6402" max="6402" width="11.140625" style="1194" customWidth="1"/>
    <col min="6403" max="6403" width="9.140625" style="1194"/>
    <col min="6404" max="6404" width="10.5703125" style="1194" customWidth="1"/>
    <col min="6405" max="6405" width="11.42578125" style="1194" customWidth="1"/>
    <col min="6406" max="6406" width="12.85546875" style="1194" customWidth="1"/>
    <col min="6407" max="6407" width="18.85546875" style="1194" customWidth="1"/>
    <col min="6408" max="6408" width="12" style="1194" customWidth="1"/>
    <col min="6409" max="6409" width="13" style="1194" customWidth="1"/>
    <col min="6410" max="6410" width="15.140625" style="1194" customWidth="1"/>
    <col min="6411" max="6656" width="9.140625" style="1194"/>
    <col min="6657" max="6657" width="11" style="1194" customWidth="1"/>
    <col min="6658" max="6658" width="11.140625" style="1194" customWidth="1"/>
    <col min="6659" max="6659" width="9.140625" style="1194"/>
    <col min="6660" max="6660" width="10.5703125" style="1194" customWidth="1"/>
    <col min="6661" max="6661" width="11.42578125" style="1194" customWidth="1"/>
    <col min="6662" max="6662" width="12.85546875" style="1194" customWidth="1"/>
    <col min="6663" max="6663" width="18.85546875" style="1194" customWidth="1"/>
    <col min="6664" max="6664" width="12" style="1194" customWidth="1"/>
    <col min="6665" max="6665" width="13" style="1194" customWidth="1"/>
    <col min="6666" max="6666" width="15.140625" style="1194" customWidth="1"/>
    <col min="6667" max="6912" width="9.140625" style="1194"/>
    <col min="6913" max="6913" width="11" style="1194" customWidth="1"/>
    <col min="6914" max="6914" width="11.140625" style="1194" customWidth="1"/>
    <col min="6915" max="6915" width="9.140625" style="1194"/>
    <col min="6916" max="6916" width="10.5703125" style="1194" customWidth="1"/>
    <col min="6917" max="6917" width="11.42578125" style="1194" customWidth="1"/>
    <col min="6918" max="6918" width="12.85546875" style="1194" customWidth="1"/>
    <col min="6919" max="6919" width="18.85546875" style="1194" customWidth="1"/>
    <col min="6920" max="6920" width="12" style="1194" customWidth="1"/>
    <col min="6921" max="6921" width="13" style="1194" customWidth="1"/>
    <col min="6922" max="6922" width="15.140625" style="1194" customWidth="1"/>
    <col min="6923" max="7168" width="9.140625" style="1194"/>
    <col min="7169" max="7169" width="11" style="1194" customWidth="1"/>
    <col min="7170" max="7170" width="11.140625" style="1194" customWidth="1"/>
    <col min="7171" max="7171" width="9.140625" style="1194"/>
    <col min="7172" max="7172" width="10.5703125" style="1194" customWidth="1"/>
    <col min="7173" max="7173" width="11.42578125" style="1194" customWidth="1"/>
    <col min="7174" max="7174" width="12.85546875" style="1194" customWidth="1"/>
    <col min="7175" max="7175" width="18.85546875" style="1194" customWidth="1"/>
    <col min="7176" max="7176" width="12" style="1194" customWidth="1"/>
    <col min="7177" max="7177" width="13" style="1194" customWidth="1"/>
    <col min="7178" max="7178" width="15.140625" style="1194" customWidth="1"/>
    <col min="7179" max="7424" width="9.140625" style="1194"/>
    <col min="7425" max="7425" width="11" style="1194" customWidth="1"/>
    <col min="7426" max="7426" width="11.140625" style="1194" customWidth="1"/>
    <col min="7427" max="7427" width="9.140625" style="1194"/>
    <col min="7428" max="7428" width="10.5703125" style="1194" customWidth="1"/>
    <col min="7429" max="7429" width="11.42578125" style="1194" customWidth="1"/>
    <col min="7430" max="7430" width="12.85546875" style="1194" customWidth="1"/>
    <col min="7431" max="7431" width="18.85546875" style="1194" customWidth="1"/>
    <col min="7432" max="7432" width="12" style="1194" customWidth="1"/>
    <col min="7433" max="7433" width="13" style="1194" customWidth="1"/>
    <col min="7434" max="7434" width="15.140625" style="1194" customWidth="1"/>
    <col min="7435" max="7680" width="9.140625" style="1194"/>
    <col min="7681" max="7681" width="11" style="1194" customWidth="1"/>
    <col min="7682" max="7682" width="11.140625" style="1194" customWidth="1"/>
    <col min="7683" max="7683" width="9.140625" style="1194"/>
    <col min="7684" max="7684" width="10.5703125" style="1194" customWidth="1"/>
    <col min="7685" max="7685" width="11.42578125" style="1194" customWidth="1"/>
    <col min="7686" max="7686" width="12.85546875" style="1194" customWidth="1"/>
    <col min="7687" max="7687" width="18.85546875" style="1194" customWidth="1"/>
    <col min="7688" max="7688" width="12" style="1194" customWidth="1"/>
    <col min="7689" max="7689" width="13" style="1194" customWidth="1"/>
    <col min="7690" max="7690" width="15.140625" style="1194" customWidth="1"/>
    <col min="7691" max="7936" width="9.140625" style="1194"/>
    <col min="7937" max="7937" width="11" style="1194" customWidth="1"/>
    <col min="7938" max="7938" width="11.140625" style="1194" customWidth="1"/>
    <col min="7939" max="7939" width="9.140625" style="1194"/>
    <col min="7940" max="7940" width="10.5703125" style="1194" customWidth="1"/>
    <col min="7941" max="7941" width="11.42578125" style="1194" customWidth="1"/>
    <col min="7942" max="7942" width="12.85546875" style="1194" customWidth="1"/>
    <col min="7943" max="7943" width="18.85546875" style="1194" customWidth="1"/>
    <col min="7944" max="7944" width="12" style="1194" customWidth="1"/>
    <col min="7945" max="7945" width="13" style="1194" customWidth="1"/>
    <col min="7946" max="7946" width="15.140625" style="1194" customWidth="1"/>
    <col min="7947" max="8192" width="9.140625" style="1194"/>
    <col min="8193" max="8193" width="11" style="1194" customWidth="1"/>
    <col min="8194" max="8194" width="11.140625" style="1194" customWidth="1"/>
    <col min="8195" max="8195" width="9.140625" style="1194"/>
    <col min="8196" max="8196" width="10.5703125" style="1194" customWidth="1"/>
    <col min="8197" max="8197" width="11.42578125" style="1194" customWidth="1"/>
    <col min="8198" max="8198" width="12.85546875" style="1194" customWidth="1"/>
    <col min="8199" max="8199" width="18.85546875" style="1194" customWidth="1"/>
    <col min="8200" max="8200" width="12" style="1194" customWidth="1"/>
    <col min="8201" max="8201" width="13" style="1194" customWidth="1"/>
    <col min="8202" max="8202" width="15.140625" style="1194" customWidth="1"/>
    <col min="8203" max="8448" width="9.140625" style="1194"/>
    <col min="8449" max="8449" width="11" style="1194" customWidth="1"/>
    <col min="8450" max="8450" width="11.140625" style="1194" customWidth="1"/>
    <col min="8451" max="8451" width="9.140625" style="1194"/>
    <col min="8452" max="8452" width="10.5703125" style="1194" customWidth="1"/>
    <col min="8453" max="8453" width="11.42578125" style="1194" customWidth="1"/>
    <col min="8454" max="8454" width="12.85546875" style="1194" customWidth="1"/>
    <col min="8455" max="8455" width="18.85546875" style="1194" customWidth="1"/>
    <col min="8456" max="8456" width="12" style="1194" customWidth="1"/>
    <col min="8457" max="8457" width="13" style="1194" customWidth="1"/>
    <col min="8458" max="8458" width="15.140625" style="1194" customWidth="1"/>
    <col min="8459" max="8704" width="9.140625" style="1194"/>
    <col min="8705" max="8705" width="11" style="1194" customWidth="1"/>
    <col min="8706" max="8706" width="11.140625" style="1194" customWidth="1"/>
    <col min="8707" max="8707" width="9.140625" style="1194"/>
    <col min="8708" max="8708" width="10.5703125" style="1194" customWidth="1"/>
    <col min="8709" max="8709" width="11.42578125" style="1194" customWidth="1"/>
    <col min="8710" max="8710" width="12.85546875" style="1194" customWidth="1"/>
    <col min="8711" max="8711" width="18.85546875" style="1194" customWidth="1"/>
    <col min="8712" max="8712" width="12" style="1194" customWidth="1"/>
    <col min="8713" max="8713" width="13" style="1194" customWidth="1"/>
    <col min="8714" max="8714" width="15.140625" style="1194" customWidth="1"/>
    <col min="8715" max="8960" width="9.140625" style="1194"/>
    <col min="8961" max="8961" width="11" style="1194" customWidth="1"/>
    <col min="8962" max="8962" width="11.140625" style="1194" customWidth="1"/>
    <col min="8963" max="8963" width="9.140625" style="1194"/>
    <col min="8964" max="8964" width="10.5703125" style="1194" customWidth="1"/>
    <col min="8965" max="8965" width="11.42578125" style="1194" customWidth="1"/>
    <col min="8966" max="8966" width="12.85546875" style="1194" customWidth="1"/>
    <col min="8967" max="8967" width="18.85546875" style="1194" customWidth="1"/>
    <col min="8968" max="8968" width="12" style="1194" customWidth="1"/>
    <col min="8969" max="8969" width="13" style="1194" customWidth="1"/>
    <col min="8970" max="8970" width="15.140625" style="1194" customWidth="1"/>
    <col min="8971" max="9216" width="9.140625" style="1194"/>
    <col min="9217" max="9217" width="11" style="1194" customWidth="1"/>
    <col min="9218" max="9218" width="11.140625" style="1194" customWidth="1"/>
    <col min="9219" max="9219" width="9.140625" style="1194"/>
    <col min="9220" max="9220" width="10.5703125" style="1194" customWidth="1"/>
    <col min="9221" max="9221" width="11.42578125" style="1194" customWidth="1"/>
    <col min="9222" max="9222" width="12.85546875" style="1194" customWidth="1"/>
    <col min="9223" max="9223" width="18.85546875" style="1194" customWidth="1"/>
    <col min="9224" max="9224" width="12" style="1194" customWidth="1"/>
    <col min="9225" max="9225" width="13" style="1194" customWidth="1"/>
    <col min="9226" max="9226" width="15.140625" style="1194" customWidth="1"/>
    <col min="9227" max="9472" width="9.140625" style="1194"/>
    <col min="9473" max="9473" width="11" style="1194" customWidth="1"/>
    <col min="9474" max="9474" width="11.140625" style="1194" customWidth="1"/>
    <col min="9475" max="9475" width="9.140625" style="1194"/>
    <col min="9476" max="9476" width="10.5703125" style="1194" customWidth="1"/>
    <col min="9477" max="9477" width="11.42578125" style="1194" customWidth="1"/>
    <col min="9478" max="9478" width="12.85546875" style="1194" customWidth="1"/>
    <col min="9479" max="9479" width="18.85546875" style="1194" customWidth="1"/>
    <col min="9480" max="9480" width="12" style="1194" customWidth="1"/>
    <col min="9481" max="9481" width="13" style="1194" customWidth="1"/>
    <col min="9482" max="9482" width="15.140625" style="1194" customWidth="1"/>
    <col min="9483" max="9728" width="9.140625" style="1194"/>
    <col min="9729" max="9729" width="11" style="1194" customWidth="1"/>
    <col min="9730" max="9730" width="11.140625" style="1194" customWidth="1"/>
    <col min="9731" max="9731" width="9.140625" style="1194"/>
    <col min="9732" max="9732" width="10.5703125" style="1194" customWidth="1"/>
    <col min="9733" max="9733" width="11.42578125" style="1194" customWidth="1"/>
    <col min="9734" max="9734" width="12.85546875" style="1194" customWidth="1"/>
    <col min="9735" max="9735" width="18.85546875" style="1194" customWidth="1"/>
    <col min="9736" max="9736" width="12" style="1194" customWidth="1"/>
    <col min="9737" max="9737" width="13" style="1194" customWidth="1"/>
    <col min="9738" max="9738" width="15.140625" style="1194" customWidth="1"/>
    <col min="9739" max="9984" width="9.140625" style="1194"/>
    <col min="9985" max="9985" width="11" style="1194" customWidth="1"/>
    <col min="9986" max="9986" width="11.140625" style="1194" customWidth="1"/>
    <col min="9987" max="9987" width="9.140625" style="1194"/>
    <col min="9988" max="9988" width="10.5703125" style="1194" customWidth="1"/>
    <col min="9989" max="9989" width="11.42578125" style="1194" customWidth="1"/>
    <col min="9990" max="9990" width="12.85546875" style="1194" customWidth="1"/>
    <col min="9991" max="9991" width="18.85546875" style="1194" customWidth="1"/>
    <col min="9992" max="9992" width="12" style="1194" customWidth="1"/>
    <col min="9993" max="9993" width="13" style="1194" customWidth="1"/>
    <col min="9994" max="9994" width="15.140625" style="1194" customWidth="1"/>
    <col min="9995" max="10240" width="9.140625" style="1194"/>
    <col min="10241" max="10241" width="11" style="1194" customWidth="1"/>
    <col min="10242" max="10242" width="11.140625" style="1194" customWidth="1"/>
    <col min="10243" max="10243" width="9.140625" style="1194"/>
    <col min="10244" max="10244" width="10.5703125" style="1194" customWidth="1"/>
    <col min="10245" max="10245" width="11.42578125" style="1194" customWidth="1"/>
    <col min="10246" max="10246" width="12.85546875" style="1194" customWidth="1"/>
    <col min="10247" max="10247" width="18.85546875" style="1194" customWidth="1"/>
    <col min="10248" max="10248" width="12" style="1194" customWidth="1"/>
    <col min="10249" max="10249" width="13" style="1194" customWidth="1"/>
    <col min="10250" max="10250" width="15.140625" style="1194" customWidth="1"/>
    <col min="10251" max="10496" width="9.140625" style="1194"/>
    <col min="10497" max="10497" width="11" style="1194" customWidth="1"/>
    <col min="10498" max="10498" width="11.140625" style="1194" customWidth="1"/>
    <col min="10499" max="10499" width="9.140625" style="1194"/>
    <col min="10500" max="10500" width="10.5703125" style="1194" customWidth="1"/>
    <col min="10501" max="10501" width="11.42578125" style="1194" customWidth="1"/>
    <col min="10502" max="10502" width="12.85546875" style="1194" customWidth="1"/>
    <col min="10503" max="10503" width="18.85546875" style="1194" customWidth="1"/>
    <col min="10504" max="10504" width="12" style="1194" customWidth="1"/>
    <col min="10505" max="10505" width="13" style="1194" customWidth="1"/>
    <col min="10506" max="10506" width="15.140625" style="1194" customWidth="1"/>
    <col min="10507" max="10752" width="9.140625" style="1194"/>
    <col min="10753" max="10753" width="11" style="1194" customWidth="1"/>
    <col min="10754" max="10754" width="11.140625" style="1194" customWidth="1"/>
    <col min="10755" max="10755" width="9.140625" style="1194"/>
    <col min="10756" max="10756" width="10.5703125" style="1194" customWidth="1"/>
    <col min="10757" max="10757" width="11.42578125" style="1194" customWidth="1"/>
    <col min="10758" max="10758" width="12.85546875" style="1194" customWidth="1"/>
    <col min="10759" max="10759" width="18.85546875" style="1194" customWidth="1"/>
    <col min="10760" max="10760" width="12" style="1194" customWidth="1"/>
    <col min="10761" max="10761" width="13" style="1194" customWidth="1"/>
    <col min="10762" max="10762" width="15.140625" style="1194" customWidth="1"/>
    <col min="10763" max="11008" width="9.140625" style="1194"/>
    <col min="11009" max="11009" width="11" style="1194" customWidth="1"/>
    <col min="11010" max="11010" width="11.140625" style="1194" customWidth="1"/>
    <col min="11011" max="11011" width="9.140625" style="1194"/>
    <col min="11012" max="11012" width="10.5703125" style="1194" customWidth="1"/>
    <col min="11013" max="11013" width="11.42578125" style="1194" customWidth="1"/>
    <col min="11014" max="11014" width="12.85546875" style="1194" customWidth="1"/>
    <col min="11015" max="11015" width="18.85546875" style="1194" customWidth="1"/>
    <col min="11016" max="11016" width="12" style="1194" customWidth="1"/>
    <col min="11017" max="11017" width="13" style="1194" customWidth="1"/>
    <col min="11018" max="11018" width="15.140625" style="1194" customWidth="1"/>
    <col min="11019" max="11264" width="9.140625" style="1194"/>
    <col min="11265" max="11265" width="11" style="1194" customWidth="1"/>
    <col min="11266" max="11266" width="11.140625" style="1194" customWidth="1"/>
    <col min="11267" max="11267" width="9.140625" style="1194"/>
    <col min="11268" max="11268" width="10.5703125" style="1194" customWidth="1"/>
    <col min="11269" max="11269" width="11.42578125" style="1194" customWidth="1"/>
    <col min="11270" max="11270" width="12.85546875" style="1194" customWidth="1"/>
    <col min="11271" max="11271" width="18.85546875" style="1194" customWidth="1"/>
    <col min="11272" max="11272" width="12" style="1194" customWidth="1"/>
    <col min="11273" max="11273" width="13" style="1194" customWidth="1"/>
    <col min="11274" max="11274" width="15.140625" style="1194" customWidth="1"/>
    <col min="11275" max="11520" width="9.140625" style="1194"/>
    <col min="11521" max="11521" width="11" style="1194" customWidth="1"/>
    <col min="11522" max="11522" width="11.140625" style="1194" customWidth="1"/>
    <col min="11523" max="11523" width="9.140625" style="1194"/>
    <col min="11524" max="11524" width="10.5703125" style="1194" customWidth="1"/>
    <col min="11525" max="11525" width="11.42578125" style="1194" customWidth="1"/>
    <col min="11526" max="11526" width="12.85546875" style="1194" customWidth="1"/>
    <col min="11527" max="11527" width="18.85546875" style="1194" customWidth="1"/>
    <col min="11528" max="11528" width="12" style="1194" customWidth="1"/>
    <col min="11529" max="11529" width="13" style="1194" customWidth="1"/>
    <col min="11530" max="11530" width="15.140625" style="1194" customWidth="1"/>
    <col min="11531" max="11776" width="9.140625" style="1194"/>
    <col min="11777" max="11777" width="11" style="1194" customWidth="1"/>
    <col min="11778" max="11778" width="11.140625" style="1194" customWidth="1"/>
    <col min="11779" max="11779" width="9.140625" style="1194"/>
    <col min="11780" max="11780" width="10.5703125" style="1194" customWidth="1"/>
    <col min="11781" max="11781" width="11.42578125" style="1194" customWidth="1"/>
    <col min="11782" max="11782" width="12.85546875" style="1194" customWidth="1"/>
    <col min="11783" max="11783" width="18.85546875" style="1194" customWidth="1"/>
    <col min="11784" max="11784" width="12" style="1194" customWidth="1"/>
    <col min="11785" max="11785" width="13" style="1194" customWidth="1"/>
    <col min="11786" max="11786" width="15.140625" style="1194" customWidth="1"/>
    <col min="11787" max="12032" width="9.140625" style="1194"/>
    <col min="12033" max="12033" width="11" style="1194" customWidth="1"/>
    <col min="12034" max="12034" width="11.140625" style="1194" customWidth="1"/>
    <col min="12035" max="12035" width="9.140625" style="1194"/>
    <col min="12036" max="12036" width="10.5703125" style="1194" customWidth="1"/>
    <col min="12037" max="12037" width="11.42578125" style="1194" customWidth="1"/>
    <col min="12038" max="12038" width="12.85546875" style="1194" customWidth="1"/>
    <col min="12039" max="12039" width="18.85546875" style="1194" customWidth="1"/>
    <col min="12040" max="12040" width="12" style="1194" customWidth="1"/>
    <col min="12041" max="12041" width="13" style="1194" customWidth="1"/>
    <col min="12042" max="12042" width="15.140625" style="1194" customWidth="1"/>
    <col min="12043" max="12288" width="9.140625" style="1194"/>
    <col min="12289" max="12289" width="11" style="1194" customWidth="1"/>
    <col min="12290" max="12290" width="11.140625" style="1194" customWidth="1"/>
    <col min="12291" max="12291" width="9.140625" style="1194"/>
    <col min="12292" max="12292" width="10.5703125" style="1194" customWidth="1"/>
    <col min="12293" max="12293" width="11.42578125" style="1194" customWidth="1"/>
    <col min="12294" max="12294" width="12.85546875" style="1194" customWidth="1"/>
    <col min="12295" max="12295" width="18.85546875" style="1194" customWidth="1"/>
    <col min="12296" max="12296" width="12" style="1194" customWidth="1"/>
    <col min="12297" max="12297" width="13" style="1194" customWidth="1"/>
    <col min="12298" max="12298" width="15.140625" style="1194" customWidth="1"/>
    <col min="12299" max="12544" width="9.140625" style="1194"/>
    <col min="12545" max="12545" width="11" style="1194" customWidth="1"/>
    <col min="12546" max="12546" width="11.140625" style="1194" customWidth="1"/>
    <col min="12547" max="12547" width="9.140625" style="1194"/>
    <col min="12548" max="12548" width="10.5703125" style="1194" customWidth="1"/>
    <col min="12549" max="12549" width="11.42578125" style="1194" customWidth="1"/>
    <col min="12550" max="12550" width="12.85546875" style="1194" customWidth="1"/>
    <col min="12551" max="12551" width="18.85546875" style="1194" customWidth="1"/>
    <col min="12552" max="12552" width="12" style="1194" customWidth="1"/>
    <col min="12553" max="12553" width="13" style="1194" customWidth="1"/>
    <col min="12554" max="12554" width="15.140625" style="1194" customWidth="1"/>
    <col min="12555" max="12800" width="9.140625" style="1194"/>
    <col min="12801" max="12801" width="11" style="1194" customWidth="1"/>
    <col min="12802" max="12802" width="11.140625" style="1194" customWidth="1"/>
    <col min="12803" max="12803" width="9.140625" style="1194"/>
    <col min="12804" max="12804" width="10.5703125" style="1194" customWidth="1"/>
    <col min="12805" max="12805" width="11.42578125" style="1194" customWidth="1"/>
    <col min="12806" max="12806" width="12.85546875" style="1194" customWidth="1"/>
    <col min="12807" max="12807" width="18.85546875" style="1194" customWidth="1"/>
    <col min="12808" max="12808" width="12" style="1194" customWidth="1"/>
    <col min="12809" max="12809" width="13" style="1194" customWidth="1"/>
    <col min="12810" max="12810" width="15.140625" style="1194" customWidth="1"/>
    <col min="12811" max="13056" width="9.140625" style="1194"/>
    <col min="13057" max="13057" width="11" style="1194" customWidth="1"/>
    <col min="13058" max="13058" width="11.140625" style="1194" customWidth="1"/>
    <col min="13059" max="13059" width="9.140625" style="1194"/>
    <col min="13060" max="13060" width="10.5703125" style="1194" customWidth="1"/>
    <col min="13061" max="13061" width="11.42578125" style="1194" customWidth="1"/>
    <col min="13062" max="13062" width="12.85546875" style="1194" customWidth="1"/>
    <col min="13063" max="13063" width="18.85546875" style="1194" customWidth="1"/>
    <col min="13064" max="13064" width="12" style="1194" customWidth="1"/>
    <col min="13065" max="13065" width="13" style="1194" customWidth="1"/>
    <col min="13066" max="13066" width="15.140625" style="1194" customWidth="1"/>
    <col min="13067" max="13312" width="9.140625" style="1194"/>
    <col min="13313" max="13313" width="11" style="1194" customWidth="1"/>
    <col min="13314" max="13314" width="11.140625" style="1194" customWidth="1"/>
    <col min="13315" max="13315" width="9.140625" style="1194"/>
    <col min="13316" max="13316" width="10.5703125" style="1194" customWidth="1"/>
    <col min="13317" max="13317" width="11.42578125" style="1194" customWidth="1"/>
    <col min="13318" max="13318" width="12.85546875" style="1194" customWidth="1"/>
    <col min="13319" max="13319" width="18.85546875" style="1194" customWidth="1"/>
    <col min="13320" max="13320" width="12" style="1194" customWidth="1"/>
    <col min="13321" max="13321" width="13" style="1194" customWidth="1"/>
    <col min="13322" max="13322" width="15.140625" style="1194" customWidth="1"/>
    <col min="13323" max="13568" width="9.140625" style="1194"/>
    <col min="13569" max="13569" width="11" style="1194" customWidth="1"/>
    <col min="13570" max="13570" width="11.140625" style="1194" customWidth="1"/>
    <col min="13571" max="13571" width="9.140625" style="1194"/>
    <col min="13572" max="13572" width="10.5703125" style="1194" customWidth="1"/>
    <col min="13573" max="13573" width="11.42578125" style="1194" customWidth="1"/>
    <col min="13574" max="13574" width="12.85546875" style="1194" customWidth="1"/>
    <col min="13575" max="13575" width="18.85546875" style="1194" customWidth="1"/>
    <col min="13576" max="13576" width="12" style="1194" customWidth="1"/>
    <col min="13577" max="13577" width="13" style="1194" customWidth="1"/>
    <col min="13578" max="13578" width="15.140625" style="1194" customWidth="1"/>
    <col min="13579" max="13824" width="9.140625" style="1194"/>
    <col min="13825" max="13825" width="11" style="1194" customWidth="1"/>
    <col min="13826" max="13826" width="11.140625" style="1194" customWidth="1"/>
    <col min="13827" max="13827" width="9.140625" style="1194"/>
    <col min="13828" max="13828" width="10.5703125" style="1194" customWidth="1"/>
    <col min="13829" max="13829" width="11.42578125" style="1194" customWidth="1"/>
    <col min="13830" max="13830" width="12.85546875" style="1194" customWidth="1"/>
    <col min="13831" max="13831" width="18.85546875" style="1194" customWidth="1"/>
    <col min="13832" max="13832" width="12" style="1194" customWidth="1"/>
    <col min="13833" max="13833" width="13" style="1194" customWidth="1"/>
    <col min="13834" max="13834" width="15.140625" style="1194" customWidth="1"/>
    <col min="13835" max="14080" width="9.140625" style="1194"/>
    <col min="14081" max="14081" width="11" style="1194" customWidth="1"/>
    <col min="14082" max="14082" width="11.140625" style="1194" customWidth="1"/>
    <col min="14083" max="14083" width="9.140625" style="1194"/>
    <col min="14084" max="14084" width="10.5703125" style="1194" customWidth="1"/>
    <col min="14085" max="14085" width="11.42578125" style="1194" customWidth="1"/>
    <col min="14086" max="14086" width="12.85546875" style="1194" customWidth="1"/>
    <col min="14087" max="14087" width="18.85546875" style="1194" customWidth="1"/>
    <col min="14088" max="14088" width="12" style="1194" customWidth="1"/>
    <col min="14089" max="14089" width="13" style="1194" customWidth="1"/>
    <col min="14090" max="14090" width="15.140625" style="1194" customWidth="1"/>
    <col min="14091" max="14336" width="9.140625" style="1194"/>
    <col min="14337" max="14337" width="11" style="1194" customWidth="1"/>
    <col min="14338" max="14338" width="11.140625" style="1194" customWidth="1"/>
    <col min="14339" max="14339" width="9.140625" style="1194"/>
    <col min="14340" max="14340" width="10.5703125" style="1194" customWidth="1"/>
    <col min="14341" max="14341" width="11.42578125" style="1194" customWidth="1"/>
    <col min="14342" max="14342" width="12.85546875" style="1194" customWidth="1"/>
    <col min="14343" max="14343" width="18.85546875" style="1194" customWidth="1"/>
    <col min="14344" max="14344" width="12" style="1194" customWidth="1"/>
    <col min="14345" max="14345" width="13" style="1194" customWidth="1"/>
    <col min="14346" max="14346" width="15.140625" style="1194" customWidth="1"/>
    <col min="14347" max="14592" width="9.140625" style="1194"/>
    <col min="14593" max="14593" width="11" style="1194" customWidth="1"/>
    <col min="14594" max="14594" width="11.140625" style="1194" customWidth="1"/>
    <col min="14595" max="14595" width="9.140625" style="1194"/>
    <col min="14596" max="14596" width="10.5703125" style="1194" customWidth="1"/>
    <col min="14597" max="14597" width="11.42578125" style="1194" customWidth="1"/>
    <col min="14598" max="14598" width="12.85546875" style="1194" customWidth="1"/>
    <col min="14599" max="14599" width="18.85546875" style="1194" customWidth="1"/>
    <col min="14600" max="14600" width="12" style="1194" customWidth="1"/>
    <col min="14601" max="14601" width="13" style="1194" customWidth="1"/>
    <col min="14602" max="14602" width="15.140625" style="1194" customWidth="1"/>
    <col min="14603" max="14848" width="9.140625" style="1194"/>
    <col min="14849" max="14849" width="11" style="1194" customWidth="1"/>
    <col min="14850" max="14850" width="11.140625" style="1194" customWidth="1"/>
    <col min="14851" max="14851" width="9.140625" style="1194"/>
    <col min="14852" max="14852" width="10.5703125" style="1194" customWidth="1"/>
    <col min="14853" max="14853" width="11.42578125" style="1194" customWidth="1"/>
    <col min="14854" max="14854" width="12.85546875" style="1194" customWidth="1"/>
    <col min="14855" max="14855" width="18.85546875" style="1194" customWidth="1"/>
    <col min="14856" max="14856" width="12" style="1194" customWidth="1"/>
    <col min="14857" max="14857" width="13" style="1194" customWidth="1"/>
    <col min="14858" max="14858" width="15.140625" style="1194" customWidth="1"/>
    <col min="14859" max="15104" width="9.140625" style="1194"/>
    <col min="15105" max="15105" width="11" style="1194" customWidth="1"/>
    <col min="15106" max="15106" width="11.140625" style="1194" customWidth="1"/>
    <col min="15107" max="15107" width="9.140625" style="1194"/>
    <col min="15108" max="15108" width="10.5703125" style="1194" customWidth="1"/>
    <col min="15109" max="15109" width="11.42578125" style="1194" customWidth="1"/>
    <col min="15110" max="15110" width="12.85546875" style="1194" customWidth="1"/>
    <col min="15111" max="15111" width="18.85546875" style="1194" customWidth="1"/>
    <col min="15112" max="15112" width="12" style="1194" customWidth="1"/>
    <col min="15113" max="15113" width="13" style="1194" customWidth="1"/>
    <col min="15114" max="15114" width="15.140625" style="1194" customWidth="1"/>
    <col min="15115" max="15360" width="9.140625" style="1194"/>
    <col min="15361" max="15361" width="11" style="1194" customWidth="1"/>
    <col min="15362" max="15362" width="11.140625" style="1194" customWidth="1"/>
    <col min="15363" max="15363" width="9.140625" style="1194"/>
    <col min="15364" max="15364" width="10.5703125" style="1194" customWidth="1"/>
    <col min="15365" max="15365" width="11.42578125" style="1194" customWidth="1"/>
    <col min="15366" max="15366" width="12.85546875" style="1194" customWidth="1"/>
    <col min="15367" max="15367" width="18.85546875" style="1194" customWidth="1"/>
    <col min="15368" max="15368" width="12" style="1194" customWidth="1"/>
    <col min="15369" max="15369" width="13" style="1194" customWidth="1"/>
    <col min="15370" max="15370" width="15.140625" style="1194" customWidth="1"/>
    <col min="15371" max="15616" width="9.140625" style="1194"/>
    <col min="15617" max="15617" width="11" style="1194" customWidth="1"/>
    <col min="15618" max="15618" width="11.140625" style="1194" customWidth="1"/>
    <col min="15619" max="15619" width="9.140625" style="1194"/>
    <col min="15620" max="15620" width="10.5703125" style="1194" customWidth="1"/>
    <col min="15621" max="15621" width="11.42578125" style="1194" customWidth="1"/>
    <col min="15622" max="15622" width="12.85546875" style="1194" customWidth="1"/>
    <col min="15623" max="15623" width="18.85546875" style="1194" customWidth="1"/>
    <col min="15624" max="15624" width="12" style="1194" customWidth="1"/>
    <col min="15625" max="15625" width="13" style="1194" customWidth="1"/>
    <col min="15626" max="15626" width="15.140625" style="1194" customWidth="1"/>
    <col min="15627" max="15872" width="9.140625" style="1194"/>
    <col min="15873" max="15873" width="11" style="1194" customWidth="1"/>
    <col min="15874" max="15874" width="11.140625" style="1194" customWidth="1"/>
    <col min="15875" max="15875" width="9.140625" style="1194"/>
    <col min="15876" max="15876" width="10.5703125" style="1194" customWidth="1"/>
    <col min="15877" max="15877" width="11.42578125" style="1194" customWidth="1"/>
    <col min="15878" max="15878" width="12.85546875" style="1194" customWidth="1"/>
    <col min="15879" max="15879" width="18.85546875" style="1194" customWidth="1"/>
    <col min="15880" max="15880" width="12" style="1194" customWidth="1"/>
    <col min="15881" max="15881" width="13" style="1194" customWidth="1"/>
    <col min="15882" max="15882" width="15.140625" style="1194" customWidth="1"/>
    <col min="15883" max="16128" width="9.140625" style="1194"/>
    <col min="16129" max="16129" width="11" style="1194" customWidth="1"/>
    <col min="16130" max="16130" width="11.140625" style="1194" customWidth="1"/>
    <col min="16131" max="16131" width="9.140625" style="1194"/>
    <col min="16132" max="16132" width="10.5703125" style="1194" customWidth="1"/>
    <col min="16133" max="16133" width="11.42578125" style="1194" customWidth="1"/>
    <col min="16134" max="16134" width="12.85546875" style="1194" customWidth="1"/>
    <col min="16135" max="16135" width="18.85546875" style="1194" customWidth="1"/>
    <col min="16136" max="16136" width="12" style="1194" customWidth="1"/>
    <col min="16137" max="16137" width="13" style="1194" customWidth="1"/>
    <col min="16138" max="16138" width="15.140625" style="1194" customWidth="1"/>
    <col min="16139" max="16384" width="9.140625" style="1194"/>
  </cols>
  <sheetData>
    <row r="1" spans="1:11" ht="57.75" customHeight="1">
      <c r="A1" s="4946"/>
      <c r="B1" s="4946"/>
      <c r="C1" s="4947"/>
      <c r="D1" s="4946"/>
      <c r="E1" s="4946"/>
      <c r="F1" s="4946"/>
      <c r="G1" s="4948" t="s">
        <v>1458</v>
      </c>
      <c r="H1" s="4948"/>
      <c r="I1" s="4948"/>
      <c r="J1" s="4948"/>
      <c r="K1" s="4948"/>
    </row>
    <row r="2" spans="1:11" ht="59.25" customHeight="1">
      <c r="A2" s="4832" t="s">
        <v>922</v>
      </c>
      <c r="B2" s="4832"/>
      <c r="C2" s="4832"/>
      <c r="D2" s="4832"/>
      <c r="E2" s="4832"/>
      <c r="F2" s="4832"/>
      <c r="G2" s="4832"/>
      <c r="H2" s="4832"/>
      <c r="I2" s="4832"/>
      <c r="J2" s="4832"/>
      <c r="K2" s="4832"/>
    </row>
    <row r="3" spans="1:11" ht="19.5" customHeight="1" thickBot="1">
      <c r="A3" s="1700"/>
      <c r="B3" s="1700"/>
      <c r="C3" s="1700"/>
      <c r="D3" s="1700"/>
      <c r="E3" s="1700"/>
      <c r="F3" s="1344"/>
      <c r="G3" s="1344"/>
      <c r="H3" s="1344"/>
      <c r="I3" s="1344"/>
      <c r="J3" s="1344"/>
      <c r="K3" s="1699" t="s">
        <v>1</v>
      </c>
    </row>
    <row r="4" spans="1:11" ht="38.25" customHeight="1" thickBot="1">
      <c r="A4" s="4897" t="s">
        <v>921</v>
      </c>
      <c r="B4" s="4898"/>
      <c r="C4" s="4898"/>
      <c r="D4" s="4898"/>
      <c r="E4" s="4898"/>
      <c r="F4" s="4898"/>
      <c r="G4" s="4898"/>
      <c r="H4" s="4898"/>
      <c r="I4" s="4898"/>
      <c r="J4" s="4898"/>
      <c r="K4" s="4899"/>
    </row>
    <row r="5" spans="1:11" ht="23.25" customHeight="1" thickBot="1">
      <c r="A5" s="1193" t="s">
        <v>2</v>
      </c>
      <c r="B5" s="1193" t="s">
        <v>920</v>
      </c>
      <c r="C5" s="1698" t="s">
        <v>5</v>
      </c>
      <c r="D5" s="4949" t="s">
        <v>853</v>
      </c>
      <c r="E5" s="4950"/>
      <c r="F5" s="4950"/>
      <c r="G5" s="4950"/>
      <c r="H5" s="4950"/>
      <c r="I5" s="4951"/>
      <c r="J5" s="4850" t="s">
        <v>919</v>
      </c>
      <c r="K5" s="4848"/>
    </row>
    <row r="6" spans="1:11" ht="14.1" customHeight="1">
      <c r="A6" s="4933">
        <v>855</v>
      </c>
      <c r="B6" s="1697"/>
      <c r="C6" s="4936" t="s">
        <v>373</v>
      </c>
      <c r="D6" s="4936"/>
      <c r="E6" s="4936"/>
      <c r="F6" s="4936"/>
      <c r="G6" s="4936"/>
      <c r="H6" s="4936"/>
      <c r="I6" s="4937"/>
      <c r="J6" s="4938">
        <f>SUM(J7)</f>
        <v>6751955</v>
      </c>
      <c r="K6" s="4939"/>
    </row>
    <row r="7" spans="1:11" ht="14.1" customHeight="1">
      <c r="A7" s="4934"/>
      <c r="B7" s="4940">
        <v>85510</v>
      </c>
      <c r="C7" s="4942" t="s">
        <v>911</v>
      </c>
      <c r="D7" s="4942"/>
      <c r="E7" s="4942"/>
      <c r="F7" s="4942"/>
      <c r="G7" s="4942"/>
      <c r="H7" s="4942"/>
      <c r="I7" s="4943"/>
      <c r="J7" s="4923">
        <f>SUM(J8)</f>
        <v>6751955</v>
      </c>
      <c r="K7" s="4924"/>
    </row>
    <row r="8" spans="1:11" ht="19.5" customHeight="1" thickBot="1">
      <c r="A8" s="4935"/>
      <c r="B8" s="4941"/>
      <c r="C8" s="1696">
        <v>2320</v>
      </c>
      <c r="D8" s="4944"/>
      <c r="E8" s="4944"/>
      <c r="F8" s="4944"/>
      <c r="G8" s="4944"/>
      <c r="H8" s="4944"/>
      <c r="I8" s="4945"/>
      <c r="J8" s="4931">
        <v>6751955</v>
      </c>
      <c r="K8" s="4932"/>
    </row>
    <row r="9" spans="1:11" ht="15">
      <c r="A9" s="4911" t="s">
        <v>813</v>
      </c>
      <c r="B9" s="4914" t="s">
        <v>401</v>
      </c>
      <c r="C9" s="4915"/>
      <c r="D9" s="4915"/>
      <c r="E9" s="4915"/>
      <c r="F9" s="4915"/>
      <c r="G9" s="4915"/>
      <c r="H9" s="4915"/>
      <c r="I9" s="4916"/>
      <c r="J9" s="4917">
        <f>SUM(J10)</f>
        <v>4613222</v>
      </c>
      <c r="K9" s="4918"/>
    </row>
    <row r="10" spans="1:11" ht="14.25">
      <c r="A10" s="4912"/>
      <c r="B10" s="4919" t="s">
        <v>909</v>
      </c>
      <c r="C10" s="4921" t="s">
        <v>908</v>
      </c>
      <c r="D10" s="4921"/>
      <c r="E10" s="4921"/>
      <c r="F10" s="4921"/>
      <c r="G10" s="4921"/>
      <c r="H10" s="4921"/>
      <c r="I10" s="4922"/>
      <c r="J10" s="4923">
        <f>SUM(J11:K12)</f>
        <v>4613222</v>
      </c>
      <c r="K10" s="4924"/>
    </row>
    <row r="11" spans="1:11" ht="15">
      <c r="A11" s="4912"/>
      <c r="B11" s="4919"/>
      <c r="C11" s="1695">
        <v>2310</v>
      </c>
      <c r="D11" s="4925"/>
      <c r="E11" s="4925"/>
      <c r="F11" s="4925"/>
      <c r="G11" s="4925"/>
      <c r="H11" s="4925"/>
      <c r="I11" s="4926"/>
      <c r="J11" s="4927">
        <v>4528222</v>
      </c>
      <c r="K11" s="4928"/>
    </row>
    <row r="12" spans="1:11" ht="15.75" thickBot="1">
      <c r="A12" s="4913"/>
      <c r="B12" s="4920"/>
      <c r="C12" s="1694">
        <v>2320</v>
      </c>
      <c r="D12" s="4929"/>
      <c r="E12" s="4929"/>
      <c r="F12" s="4929"/>
      <c r="G12" s="4929"/>
      <c r="H12" s="4929"/>
      <c r="I12" s="4930"/>
      <c r="J12" s="4931">
        <v>85000</v>
      </c>
      <c r="K12" s="4932"/>
    </row>
    <row r="13" spans="1:11" ht="16.5" thickBot="1">
      <c r="A13" s="4892" t="s">
        <v>411</v>
      </c>
      <c r="B13" s="4893"/>
      <c r="C13" s="4893"/>
      <c r="D13" s="4893"/>
      <c r="E13" s="4893"/>
      <c r="F13" s="4893"/>
      <c r="G13" s="4893"/>
      <c r="H13" s="4893"/>
      <c r="I13" s="4894"/>
      <c r="J13" s="4895">
        <f>J9+J6</f>
        <v>11365177</v>
      </c>
      <c r="K13" s="4896"/>
    </row>
    <row r="14" spans="1:11" ht="15.75" thickBot="1">
      <c r="A14" s="1693"/>
      <c r="B14" s="1693"/>
      <c r="C14" s="1691"/>
      <c r="D14" s="1692"/>
      <c r="E14" s="1692"/>
      <c r="F14" s="1692"/>
      <c r="G14" s="1692"/>
      <c r="H14" s="1692"/>
      <c r="I14" s="1692"/>
      <c r="J14" s="1691"/>
      <c r="K14" s="1690" t="s">
        <v>1</v>
      </c>
    </row>
    <row r="15" spans="1:11" ht="37.5" customHeight="1" thickBot="1">
      <c r="A15" s="4897" t="s">
        <v>918</v>
      </c>
      <c r="B15" s="4898"/>
      <c r="C15" s="4898"/>
      <c r="D15" s="4898"/>
      <c r="E15" s="4898"/>
      <c r="F15" s="4898"/>
      <c r="G15" s="4898"/>
      <c r="H15" s="4898"/>
      <c r="I15" s="4898"/>
      <c r="J15" s="4898"/>
      <c r="K15" s="4899"/>
    </row>
    <row r="16" spans="1:11" ht="15">
      <c r="A16" s="4900" t="s">
        <v>2</v>
      </c>
      <c r="B16" s="4902" t="s">
        <v>651</v>
      </c>
      <c r="C16" s="4900" t="s">
        <v>853</v>
      </c>
      <c r="D16" s="4900"/>
      <c r="E16" s="4851" t="s">
        <v>5</v>
      </c>
      <c r="F16" s="4905" t="s">
        <v>917</v>
      </c>
      <c r="G16" s="4907" t="s">
        <v>916</v>
      </c>
      <c r="H16" s="4908" t="s">
        <v>412</v>
      </c>
      <c r="I16" s="4909"/>
      <c r="J16" s="4910"/>
      <c r="K16" s="4876" t="s">
        <v>915</v>
      </c>
    </row>
    <row r="17" spans="1:11" ht="51" customHeight="1" thickBot="1">
      <c r="A17" s="4901"/>
      <c r="B17" s="4903"/>
      <c r="C17" s="4901"/>
      <c r="D17" s="4901"/>
      <c r="E17" s="4904"/>
      <c r="F17" s="4906"/>
      <c r="G17" s="4901"/>
      <c r="H17" s="1689" t="s">
        <v>914</v>
      </c>
      <c r="I17" s="1688" t="s">
        <v>913</v>
      </c>
      <c r="J17" s="1687" t="s">
        <v>912</v>
      </c>
      <c r="K17" s="4877"/>
    </row>
    <row r="18" spans="1:11" ht="15" customHeight="1">
      <c r="A18" s="4878">
        <v>855</v>
      </c>
      <c r="B18" s="4880" t="s">
        <v>373</v>
      </c>
      <c r="C18" s="4881"/>
      <c r="D18" s="4881"/>
      <c r="E18" s="4882"/>
      <c r="F18" s="1686">
        <f t="shared" ref="F18:K18" si="0">F19</f>
        <v>6751955</v>
      </c>
      <c r="G18" s="1685">
        <f t="shared" si="0"/>
        <v>6751955</v>
      </c>
      <c r="H18" s="1684">
        <f t="shared" si="0"/>
        <v>0</v>
      </c>
      <c r="I18" s="1683">
        <f t="shared" si="0"/>
        <v>6751955</v>
      </c>
      <c r="J18" s="1682">
        <f t="shared" si="0"/>
        <v>0</v>
      </c>
      <c r="K18" s="1681">
        <f t="shared" si="0"/>
        <v>0</v>
      </c>
    </row>
    <row r="19" spans="1:11" ht="63.75" customHeight="1" thickBot="1">
      <c r="A19" s="4879"/>
      <c r="B19" s="1680">
        <v>85510</v>
      </c>
      <c r="C19" s="4883" t="s">
        <v>911</v>
      </c>
      <c r="D19" s="4884"/>
      <c r="E19" s="1679">
        <v>2360</v>
      </c>
      <c r="F19" s="1591">
        <f>G19+K19</f>
        <v>6751955</v>
      </c>
      <c r="G19" s="1590">
        <f>H19+I19+J19</f>
        <v>6751955</v>
      </c>
      <c r="H19" s="1678">
        <v>0</v>
      </c>
      <c r="I19" s="1677">
        <v>6751955</v>
      </c>
      <c r="J19" s="1676">
        <v>0</v>
      </c>
      <c r="K19" s="1675">
        <v>0</v>
      </c>
    </row>
    <row r="20" spans="1:11" ht="30" customHeight="1">
      <c r="A20" s="4818" t="s">
        <v>813</v>
      </c>
      <c r="B20" s="4885" t="s">
        <v>910</v>
      </c>
      <c r="C20" s="4886"/>
      <c r="D20" s="4886"/>
      <c r="E20" s="4887"/>
      <c r="F20" s="1674">
        <f t="shared" ref="F20:K20" si="1">F21+F22</f>
        <v>4613222</v>
      </c>
      <c r="G20" s="1673">
        <f t="shared" si="1"/>
        <v>4613222</v>
      </c>
      <c r="H20" s="1672">
        <f t="shared" si="1"/>
        <v>0</v>
      </c>
      <c r="I20" s="1671">
        <f t="shared" si="1"/>
        <v>4613222</v>
      </c>
      <c r="J20" s="1670">
        <f t="shared" si="1"/>
        <v>0</v>
      </c>
      <c r="K20" s="1669">
        <f t="shared" si="1"/>
        <v>0</v>
      </c>
    </row>
    <row r="21" spans="1:11" ht="22.5" customHeight="1">
      <c r="A21" s="4818"/>
      <c r="B21" s="4888" t="s">
        <v>909</v>
      </c>
      <c r="C21" s="4890" t="s">
        <v>908</v>
      </c>
      <c r="D21" s="4890"/>
      <c r="E21" s="1668">
        <v>2480</v>
      </c>
      <c r="F21" s="1667">
        <f>G21+K21</f>
        <v>4528222</v>
      </c>
      <c r="G21" s="1666">
        <f>H21+I21+J21</f>
        <v>4528222</v>
      </c>
      <c r="H21" s="1665">
        <v>0</v>
      </c>
      <c r="I21" s="1664">
        <v>4528222</v>
      </c>
      <c r="J21" s="1663">
        <v>0</v>
      </c>
      <c r="K21" s="1662">
        <v>0</v>
      </c>
    </row>
    <row r="22" spans="1:11" ht="21" customHeight="1" thickBot="1">
      <c r="A22" s="4814"/>
      <c r="B22" s="4889"/>
      <c r="C22" s="4891"/>
      <c r="D22" s="4891"/>
      <c r="E22" s="1668">
        <v>2800</v>
      </c>
      <c r="F22" s="1667">
        <f>G22+K22</f>
        <v>85000</v>
      </c>
      <c r="G22" s="1666">
        <f>H22+I22+J22</f>
        <v>85000</v>
      </c>
      <c r="H22" s="1665">
        <v>0</v>
      </c>
      <c r="I22" s="1664">
        <v>85000</v>
      </c>
      <c r="J22" s="1663">
        <v>0</v>
      </c>
      <c r="K22" s="1662">
        <v>0</v>
      </c>
    </row>
    <row r="23" spans="1:11" ht="22.5" customHeight="1" thickBot="1">
      <c r="A23" s="4859" t="s">
        <v>855</v>
      </c>
      <c r="B23" s="4875"/>
      <c r="C23" s="4875"/>
      <c r="D23" s="4875"/>
      <c r="E23" s="4875"/>
      <c r="F23" s="1604">
        <f t="shared" ref="F23:K23" si="2">F20+F18</f>
        <v>11365177</v>
      </c>
      <c r="G23" s="1661">
        <f t="shared" si="2"/>
        <v>11365177</v>
      </c>
      <c r="H23" s="1660">
        <f t="shared" si="2"/>
        <v>0</v>
      </c>
      <c r="I23" s="1661">
        <f t="shared" si="2"/>
        <v>11365177</v>
      </c>
      <c r="J23" s="1661">
        <f t="shared" si="2"/>
        <v>0</v>
      </c>
      <c r="K23" s="1660">
        <f t="shared" si="2"/>
        <v>0</v>
      </c>
    </row>
    <row r="534" spans="16:16">
      <c r="P534" s="1194">
        <f>O534-N534</f>
        <v>0</v>
      </c>
    </row>
  </sheetData>
  <sheetProtection algorithmName="SHA-512" hashValue="nI2Qhfh7l6u8tia1PmscbFBzHRcD5N2xBVeLkGy6IqzKEyuqAZmlfWfVbewHVqm0LeBttCt089D4Wnq/uF52gw==" saltValue="mDRiYWtthzUpzW4wlqNLxQ==" spinCount="100000" sheet="1" objects="1" scenarios="1"/>
  <mergeCells count="43">
    <mergeCell ref="A1:F1"/>
    <mergeCell ref="G1:K1"/>
    <mergeCell ref="A2:K2"/>
    <mergeCell ref="A4:K4"/>
    <mergeCell ref="D5:I5"/>
    <mergeCell ref="J5:K5"/>
    <mergeCell ref="A6:A8"/>
    <mergeCell ref="C6:I6"/>
    <mergeCell ref="J6:K6"/>
    <mergeCell ref="B7:B8"/>
    <mergeCell ref="C7:I7"/>
    <mergeCell ref="J7:K7"/>
    <mergeCell ref="D8:I8"/>
    <mergeCell ref="J8:K8"/>
    <mergeCell ref="A9:A12"/>
    <mergeCell ref="B9:I9"/>
    <mergeCell ref="J9:K9"/>
    <mergeCell ref="B10:B12"/>
    <mergeCell ref="C10:I10"/>
    <mergeCell ref="J10:K10"/>
    <mergeCell ref="D11:I11"/>
    <mergeCell ref="J11:K11"/>
    <mergeCell ref="D12:I12"/>
    <mergeCell ref="J12:K12"/>
    <mergeCell ref="A13:I13"/>
    <mergeCell ref="J13:K13"/>
    <mergeCell ref="A15:K15"/>
    <mergeCell ref="A16:A17"/>
    <mergeCell ref="B16:B17"/>
    <mergeCell ref="C16:D17"/>
    <mergeCell ref="E16:E17"/>
    <mergeCell ref="F16:F17"/>
    <mergeCell ref="G16:G17"/>
    <mergeCell ref="H16:J16"/>
    <mergeCell ref="A23:E23"/>
    <mergeCell ref="K16:K17"/>
    <mergeCell ref="A18:A19"/>
    <mergeCell ref="B18:E18"/>
    <mergeCell ref="C19:D19"/>
    <mergeCell ref="A20:A22"/>
    <mergeCell ref="B20:E20"/>
    <mergeCell ref="B21:B22"/>
    <mergeCell ref="C21:D2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Strona &amp;P z &amp;N</oddFooter>
  </headerFooter>
  <rowBreaks count="1" manualBreakCount="1">
    <brk id="1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552EE-9A8C-4E45-B2F1-8B82C1D2F97E}">
  <sheetPr>
    <tabColor rgb="FF92D050"/>
  </sheetPr>
  <dimension ref="A1:K34"/>
  <sheetViews>
    <sheetView view="pageBreakPreview" zoomScaleSheetLayoutView="100" workbookViewId="0">
      <selection activeCell="R6" sqref="R6"/>
    </sheetView>
  </sheetViews>
  <sheetFormatPr defaultRowHeight="12.75"/>
  <cols>
    <col min="1" max="6" width="12.7109375" style="1195" customWidth="1"/>
    <col min="7" max="7" width="60.7109375" style="1195" customWidth="1"/>
    <col min="8" max="8" width="10.140625" style="1194" bestFit="1" customWidth="1"/>
    <col min="9" max="9" width="10.7109375" style="1194" bestFit="1" customWidth="1"/>
    <col min="10" max="256" width="9.140625" style="1194"/>
    <col min="257" max="257" width="7.7109375" style="1194" customWidth="1"/>
    <col min="258" max="258" width="10.5703125" style="1194" customWidth="1"/>
    <col min="259" max="259" width="11.140625" style="1194" bestFit="1" customWidth="1"/>
    <col min="260" max="260" width="22.140625" style="1194" bestFit="1" customWidth="1"/>
    <col min="261" max="261" width="12.28515625" style="1194" customWidth="1"/>
    <col min="262" max="262" width="12.5703125" style="1194" customWidth="1"/>
    <col min="263" max="263" width="12.140625" style="1194" customWidth="1"/>
    <col min="264" max="264" width="19.7109375" style="1194" customWidth="1"/>
    <col min="265" max="512" width="9.140625" style="1194"/>
    <col min="513" max="513" width="7.7109375" style="1194" customWidth="1"/>
    <col min="514" max="514" width="10.5703125" style="1194" customWidth="1"/>
    <col min="515" max="515" width="11.140625" style="1194" bestFit="1" customWidth="1"/>
    <col min="516" max="516" width="22.140625" style="1194" bestFit="1" customWidth="1"/>
    <col min="517" max="517" width="12.28515625" style="1194" customWidth="1"/>
    <col min="518" max="518" width="12.5703125" style="1194" customWidth="1"/>
    <col min="519" max="519" width="12.140625" style="1194" customWidth="1"/>
    <col min="520" max="520" width="19.7109375" style="1194" customWidth="1"/>
    <col min="521" max="768" width="9.140625" style="1194"/>
    <col min="769" max="769" width="7.7109375" style="1194" customWidth="1"/>
    <col min="770" max="770" width="10.5703125" style="1194" customWidth="1"/>
    <col min="771" max="771" width="11.140625" style="1194" bestFit="1" customWidth="1"/>
    <col min="772" max="772" width="22.140625" style="1194" bestFit="1" customWidth="1"/>
    <col min="773" max="773" width="12.28515625" style="1194" customWidth="1"/>
    <col min="774" max="774" width="12.5703125" style="1194" customWidth="1"/>
    <col min="775" max="775" width="12.140625" style="1194" customWidth="1"/>
    <col min="776" max="776" width="19.7109375" style="1194" customWidth="1"/>
    <col min="777" max="1024" width="9.140625" style="1194"/>
    <col min="1025" max="1025" width="7.7109375" style="1194" customWidth="1"/>
    <col min="1026" max="1026" width="10.5703125" style="1194" customWidth="1"/>
    <col min="1027" max="1027" width="11.140625" style="1194" bestFit="1" customWidth="1"/>
    <col min="1028" max="1028" width="22.140625" style="1194" bestFit="1" customWidth="1"/>
    <col min="1029" max="1029" width="12.28515625" style="1194" customWidth="1"/>
    <col min="1030" max="1030" width="12.5703125" style="1194" customWidth="1"/>
    <col min="1031" max="1031" width="12.140625" style="1194" customWidth="1"/>
    <col min="1032" max="1032" width="19.7109375" style="1194" customWidth="1"/>
    <col min="1033" max="1280" width="9.140625" style="1194"/>
    <col min="1281" max="1281" width="7.7109375" style="1194" customWidth="1"/>
    <col min="1282" max="1282" width="10.5703125" style="1194" customWidth="1"/>
    <col min="1283" max="1283" width="11.140625" style="1194" bestFit="1" customWidth="1"/>
    <col min="1284" max="1284" width="22.140625" style="1194" bestFit="1" customWidth="1"/>
    <col min="1285" max="1285" width="12.28515625" style="1194" customWidth="1"/>
    <col min="1286" max="1286" width="12.5703125" style="1194" customWidth="1"/>
    <col min="1287" max="1287" width="12.140625" style="1194" customWidth="1"/>
    <col min="1288" max="1288" width="19.7109375" style="1194" customWidth="1"/>
    <col min="1289" max="1536" width="9.140625" style="1194"/>
    <col min="1537" max="1537" width="7.7109375" style="1194" customWidth="1"/>
    <col min="1538" max="1538" width="10.5703125" style="1194" customWidth="1"/>
    <col min="1539" max="1539" width="11.140625" style="1194" bestFit="1" customWidth="1"/>
    <col min="1540" max="1540" width="22.140625" style="1194" bestFit="1" customWidth="1"/>
    <col min="1541" max="1541" width="12.28515625" style="1194" customWidth="1"/>
    <col min="1542" max="1542" width="12.5703125" style="1194" customWidth="1"/>
    <col min="1543" max="1543" width="12.140625" style="1194" customWidth="1"/>
    <col min="1544" max="1544" width="19.7109375" style="1194" customWidth="1"/>
    <col min="1545" max="1792" width="9.140625" style="1194"/>
    <col min="1793" max="1793" width="7.7109375" style="1194" customWidth="1"/>
    <col min="1794" max="1794" width="10.5703125" style="1194" customWidth="1"/>
    <col min="1795" max="1795" width="11.140625" style="1194" bestFit="1" customWidth="1"/>
    <col min="1796" max="1796" width="22.140625" style="1194" bestFit="1" customWidth="1"/>
    <col min="1797" max="1797" width="12.28515625" style="1194" customWidth="1"/>
    <col min="1798" max="1798" width="12.5703125" style="1194" customWidth="1"/>
    <col min="1799" max="1799" width="12.140625" style="1194" customWidth="1"/>
    <col min="1800" max="1800" width="19.7109375" style="1194" customWidth="1"/>
    <col min="1801" max="2048" width="9.140625" style="1194"/>
    <col min="2049" max="2049" width="7.7109375" style="1194" customWidth="1"/>
    <col min="2050" max="2050" width="10.5703125" style="1194" customWidth="1"/>
    <col min="2051" max="2051" width="11.140625" style="1194" bestFit="1" customWidth="1"/>
    <col min="2052" max="2052" width="22.140625" style="1194" bestFit="1" customWidth="1"/>
    <col min="2053" max="2053" width="12.28515625" style="1194" customWidth="1"/>
    <col min="2054" max="2054" width="12.5703125" style="1194" customWidth="1"/>
    <col min="2055" max="2055" width="12.140625" style="1194" customWidth="1"/>
    <col min="2056" max="2056" width="19.7109375" style="1194" customWidth="1"/>
    <col min="2057" max="2304" width="9.140625" style="1194"/>
    <col min="2305" max="2305" width="7.7109375" style="1194" customWidth="1"/>
    <col min="2306" max="2306" width="10.5703125" style="1194" customWidth="1"/>
    <col min="2307" max="2307" width="11.140625" style="1194" bestFit="1" customWidth="1"/>
    <col min="2308" max="2308" width="22.140625" style="1194" bestFit="1" customWidth="1"/>
    <col min="2309" max="2309" width="12.28515625" style="1194" customWidth="1"/>
    <col min="2310" max="2310" width="12.5703125" style="1194" customWidth="1"/>
    <col min="2311" max="2311" width="12.140625" style="1194" customWidth="1"/>
    <col min="2312" max="2312" width="19.7109375" style="1194" customWidth="1"/>
    <col min="2313" max="2560" width="9.140625" style="1194"/>
    <col min="2561" max="2561" width="7.7109375" style="1194" customWidth="1"/>
    <col min="2562" max="2562" width="10.5703125" style="1194" customWidth="1"/>
    <col min="2563" max="2563" width="11.140625" style="1194" bestFit="1" customWidth="1"/>
    <col min="2564" max="2564" width="22.140625" style="1194" bestFit="1" customWidth="1"/>
    <col min="2565" max="2565" width="12.28515625" style="1194" customWidth="1"/>
    <col min="2566" max="2566" width="12.5703125" style="1194" customWidth="1"/>
    <col min="2567" max="2567" width="12.140625" style="1194" customWidth="1"/>
    <col min="2568" max="2568" width="19.7109375" style="1194" customWidth="1"/>
    <col min="2569" max="2816" width="9.140625" style="1194"/>
    <col min="2817" max="2817" width="7.7109375" style="1194" customWidth="1"/>
    <col min="2818" max="2818" width="10.5703125" style="1194" customWidth="1"/>
    <col min="2819" max="2819" width="11.140625" style="1194" bestFit="1" customWidth="1"/>
    <col min="2820" max="2820" width="22.140625" style="1194" bestFit="1" customWidth="1"/>
    <col min="2821" max="2821" width="12.28515625" style="1194" customWidth="1"/>
    <col min="2822" max="2822" width="12.5703125" style="1194" customWidth="1"/>
    <col min="2823" max="2823" width="12.140625" style="1194" customWidth="1"/>
    <col min="2824" max="2824" width="19.7109375" style="1194" customWidth="1"/>
    <col min="2825" max="3072" width="9.140625" style="1194"/>
    <col min="3073" max="3073" width="7.7109375" style="1194" customWidth="1"/>
    <col min="3074" max="3074" width="10.5703125" style="1194" customWidth="1"/>
    <col min="3075" max="3075" width="11.140625" style="1194" bestFit="1" customWidth="1"/>
    <col min="3076" max="3076" width="22.140625" style="1194" bestFit="1" customWidth="1"/>
    <col min="3077" max="3077" width="12.28515625" style="1194" customWidth="1"/>
    <col min="3078" max="3078" width="12.5703125" style="1194" customWidth="1"/>
    <col min="3079" max="3079" width="12.140625" style="1194" customWidth="1"/>
    <col min="3080" max="3080" width="19.7109375" style="1194" customWidth="1"/>
    <col min="3081" max="3328" width="9.140625" style="1194"/>
    <col min="3329" max="3329" width="7.7109375" style="1194" customWidth="1"/>
    <col min="3330" max="3330" width="10.5703125" style="1194" customWidth="1"/>
    <col min="3331" max="3331" width="11.140625" style="1194" bestFit="1" customWidth="1"/>
    <col min="3332" max="3332" width="22.140625" style="1194" bestFit="1" customWidth="1"/>
    <col min="3333" max="3333" width="12.28515625" style="1194" customWidth="1"/>
    <col min="3334" max="3334" width="12.5703125" style="1194" customWidth="1"/>
    <col min="3335" max="3335" width="12.140625" style="1194" customWidth="1"/>
    <col min="3336" max="3336" width="19.7109375" style="1194" customWidth="1"/>
    <col min="3337" max="3584" width="9.140625" style="1194"/>
    <col min="3585" max="3585" width="7.7109375" style="1194" customWidth="1"/>
    <col min="3586" max="3586" width="10.5703125" style="1194" customWidth="1"/>
    <col min="3587" max="3587" width="11.140625" style="1194" bestFit="1" customWidth="1"/>
    <col min="3588" max="3588" width="22.140625" style="1194" bestFit="1" customWidth="1"/>
    <col min="3589" max="3589" width="12.28515625" style="1194" customWidth="1"/>
    <col min="3590" max="3590" width="12.5703125" style="1194" customWidth="1"/>
    <col min="3591" max="3591" width="12.140625" style="1194" customWidth="1"/>
    <col min="3592" max="3592" width="19.7109375" style="1194" customWidth="1"/>
    <col min="3593" max="3840" width="9.140625" style="1194"/>
    <col min="3841" max="3841" width="7.7109375" style="1194" customWidth="1"/>
    <col min="3842" max="3842" width="10.5703125" style="1194" customWidth="1"/>
    <col min="3843" max="3843" width="11.140625" style="1194" bestFit="1" customWidth="1"/>
    <col min="3844" max="3844" width="22.140625" style="1194" bestFit="1" customWidth="1"/>
    <col min="3845" max="3845" width="12.28515625" style="1194" customWidth="1"/>
    <col min="3846" max="3846" width="12.5703125" style="1194" customWidth="1"/>
    <col min="3847" max="3847" width="12.140625" style="1194" customWidth="1"/>
    <col min="3848" max="3848" width="19.7109375" style="1194" customWidth="1"/>
    <col min="3849" max="4096" width="9.140625" style="1194"/>
    <col min="4097" max="4097" width="7.7109375" style="1194" customWidth="1"/>
    <col min="4098" max="4098" width="10.5703125" style="1194" customWidth="1"/>
    <col min="4099" max="4099" width="11.140625" style="1194" bestFit="1" customWidth="1"/>
    <col min="4100" max="4100" width="22.140625" style="1194" bestFit="1" customWidth="1"/>
    <col min="4101" max="4101" width="12.28515625" style="1194" customWidth="1"/>
    <col min="4102" max="4102" width="12.5703125" style="1194" customWidth="1"/>
    <col min="4103" max="4103" width="12.140625" style="1194" customWidth="1"/>
    <col min="4104" max="4104" width="19.7109375" style="1194" customWidth="1"/>
    <col min="4105" max="4352" width="9.140625" style="1194"/>
    <col min="4353" max="4353" width="7.7109375" style="1194" customWidth="1"/>
    <col min="4354" max="4354" width="10.5703125" style="1194" customWidth="1"/>
    <col min="4355" max="4355" width="11.140625" style="1194" bestFit="1" customWidth="1"/>
    <col min="4356" max="4356" width="22.140625" style="1194" bestFit="1" customWidth="1"/>
    <col min="4357" max="4357" width="12.28515625" style="1194" customWidth="1"/>
    <col min="4358" max="4358" width="12.5703125" style="1194" customWidth="1"/>
    <col min="4359" max="4359" width="12.140625" style="1194" customWidth="1"/>
    <col min="4360" max="4360" width="19.7109375" style="1194" customWidth="1"/>
    <col min="4361" max="4608" width="9.140625" style="1194"/>
    <col min="4609" max="4609" width="7.7109375" style="1194" customWidth="1"/>
    <col min="4610" max="4610" width="10.5703125" style="1194" customWidth="1"/>
    <col min="4611" max="4611" width="11.140625" style="1194" bestFit="1" customWidth="1"/>
    <col min="4612" max="4612" width="22.140625" style="1194" bestFit="1" customWidth="1"/>
    <col min="4613" max="4613" width="12.28515625" style="1194" customWidth="1"/>
    <col min="4614" max="4614" width="12.5703125" style="1194" customWidth="1"/>
    <col min="4615" max="4615" width="12.140625" style="1194" customWidth="1"/>
    <col min="4616" max="4616" width="19.7109375" style="1194" customWidth="1"/>
    <col min="4617" max="4864" width="9.140625" style="1194"/>
    <col min="4865" max="4865" width="7.7109375" style="1194" customWidth="1"/>
    <col min="4866" max="4866" width="10.5703125" style="1194" customWidth="1"/>
    <col min="4867" max="4867" width="11.140625" style="1194" bestFit="1" customWidth="1"/>
    <col min="4868" max="4868" width="22.140625" style="1194" bestFit="1" customWidth="1"/>
    <col min="4869" max="4869" width="12.28515625" style="1194" customWidth="1"/>
    <col min="4870" max="4870" width="12.5703125" style="1194" customWidth="1"/>
    <col min="4871" max="4871" width="12.140625" style="1194" customWidth="1"/>
    <col min="4872" max="4872" width="19.7109375" style="1194" customWidth="1"/>
    <col min="4873" max="5120" width="9.140625" style="1194"/>
    <col min="5121" max="5121" width="7.7109375" style="1194" customWidth="1"/>
    <col min="5122" max="5122" width="10.5703125" style="1194" customWidth="1"/>
    <col min="5123" max="5123" width="11.140625" style="1194" bestFit="1" customWidth="1"/>
    <col min="5124" max="5124" width="22.140625" style="1194" bestFit="1" customWidth="1"/>
    <col min="5125" max="5125" width="12.28515625" style="1194" customWidth="1"/>
    <col min="5126" max="5126" width="12.5703125" style="1194" customWidth="1"/>
    <col min="5127" max="5127" width="12.140625" style="1194" customWidth="1"/>
    <col min="5128" max="5128" width="19.7109375" style="1194" customWidth="1"/>
    <col min="5129" max="5376" width="9.140625" style="1194"/>
    <col min="5377" max="5377" width="7.7109375" style="1194" customWidth="1"/>
    <col min="5378" max="5378" width="10.5703125" style="1194" customWidth="1"/>
    <col min="5379" max="5379" width="11.140625" style="1194" bestFit="1" customWidth="1"/>
    <col min="5380" max="5380" width="22.140625" style="1194" bestFit="1" customWidth="1"/>
    <col min="5381" max="5381" width="12.28515625" style="1194" customWidth="1"/>
    <col min="5382" max="5382" width="12.5703125" style="1194" customWidth="1"/>
    <col min="5383" max="5383" width="12.140625" style="1194" customWidth="1"/>
    <col min="5384" max="5384" width="19.7109375" style="1194" customWidth="1"/>
    <col min="5385" max="5632" width="9.140625" style="1194"/>
    <col min="5633" max="5633" width="7.7109375" style="1194" customWidth="1"/>
    <col min="5634" max="5634" width="10.5703125" style="1194" customWidth="1"/>
    <col min="5635" max="5635" width="11.140625" style="1194" bestFit="1" customWidth="1"/>
    <col min="5636" max="5636" width="22.140625" style="1194" bestFit="1" customWidth="1"/>
    <col min="5637" max="5637" width="12.28515625" style="1194" customWidth="1"/>
    <col min="5638" max="5638" width="12.5703125" style="1194" customWidth="1"/>
    <col min="5639" max="5639" width="12.140625" style="1194" customWidth="1"/>
    <col min="5640" max="5640" width="19.7109375" style="1194" customWidth="1"/>
    <col min="5641" max="5888" width="9.140625" style="1194"/>
    <col min="5889" max="5889" width="7.7109375" style="1194" customWidth="1"/>
    <col min="5890" max="5890" width="10.5703125" style="1194" customWidth="1"/>
    <col min="5891" max="5891" width="11.140625" style="1194" bestFit="1" customWidth="1"/>
    <col min="5892" max="5892" width="22.140625" style="1194" bestFit="1" customWidth="1"/>
    <col min="5893" max="5893" width="12.28515625" style="1194" customWidth="1"/>
    <col min="5894" max="5894" width="12.5703125" style="1194" customWidth="1"/>
    <col min="5895" max="5895" width="12.140625" style="1194" customWidth="1"/>
    <col min="5896" max="5896" width="19.7109375" style="1194" customWidth="1"/>
    <col min="5897" max="6144" width="9.140625" style="1194"/>
    <col min="6145" max="6145" width="7.7109375" style="1194" customWidth="1"/>
    <col min="6146" max="6146" width="10.5703125" style="1194" customWidth="1"/>
    <col min="6147" max="6147" width="11.140625" style="1194" bestFit="1" customWidth="1"/>
    <col min="6148" max="6148" width="22.140625" style="1194" bestFit="1" customWidth="1"/>
    <col min="6149" max="6149" width="12.28515625" style="1194" customWidth="1"/>
    <col min="6150" max="6150" width="12.5703125" style="1194" customWidth="1"/>
    <col min="6151" max="6151" width="12.140625" style="1194" customWidth="1"/>
    <col min="6152" max="6152" width="19.7109375" style="1194" customWidth="1"/>
    <col min="6153" max="6400" width="9.140625" style="1194"/>
    <col min="6401" max="6401" width="7.7109375" style="1194" customWidth="1"/>
    <col min="6402" max="6402" width="10.5703125" style="1194" customWidth="1"/>
    <col min="6403" max="6403" width="11.140625" style="1194" bestFit="1" customWidth="1"/>
    <col min="6404" max="6404" width="22.140625" style="1194" bestFit="1" customWidth="1"/>
    <col min="6405" max="6405" width="12.28515625" style="1194" customWidth="1"/>
    <col min="6406" max="6406" width="12.5703125" style="1194" customWidth="1"/>
    <col min="6407" max="6407" width="12.140625" style="1194" customWidth="1"/>
    <col min="6408" max="6408" width="19.7109375" style="1194" customWidth="1"/>
    <col min="6409" max="6656" width="9.140625" style="1194"/>
    <col min="6657" max="6657" width="7.7109375" style="1194" customWidth="1"/>
    <col min="6658" max="6658" width="10.5703125" style="1194" customWidth="1"/>
    <col min="6659" max="6659" width="11.140625" style="1194" bestFit="1" customWidth="1"/>
    <col min="6660" max="6660" width="22.140625" style="1194" bestFit="1" customWidth="1"/>
    <col min="6661" max="6661" width="12.28515625" style="1194" customWidth="1"/>
    <col min="6662" max="6662" width="12.5703125" style="1194" customWidth="1"/>
    <col min="6663" max="6663" width="12.140625" style="1194" customWidth="1"/>
    <col min="6664" max="6664" width="19.7109375" style="1194" customWidth="1"/>
    <col min="6665" max="6912" width="9.140625" style="1194"/>
    <col min="6913" max="6913" width="7.7109375" style="1194" customWidth="1"/>
    <col min="6914" max="6914" width="10.5703125" style="1194" customWidth="1"/>
    <col min="6915" max="6915" width="11.140625" style="1194" bestFit="1" customWidth="1"/>
    <col min="6916" max="6916" width="22.140625" style="1194" bestFit="1" customWidth="1"/>
    <col min="6917" max="6917" width="12.28515625" style="1194" customWidth="1"/>
    <col min="6918" max="6918" width="12.5703125" style="1194" customWidth="1"/>
    <col min="6919" max="6919" width="12.140625" style="1194" customWidth="1"/>
    <col min="6920" max="6920" width="19.7109375" style="1194" customWidth="1"/>
    <col min="6921" max="7168" width="9.140625" style="1194"/>
    <col min="7169" max="7169" width="7.7109375" style="1194" customWidth="1"/>
    <col min="7170" max="7170" width="10.5703125" style="1194" customWidth="1"/>
    <col min="7171" max="7171" width="11.140625" style="1194" bestFit="1" customWidth="1"/>
    <col min="7172" max="7172" width="22.140625" style="1194" bestFit="1" customWidth="1"/>
    <col min="7173" max="7173" width="12.28515625" style="1194" customWidth="1"/>
    <col min="7174" max="7174" width="12.5703125" style="1194" customWidth="1"/>
    <col min="7175" max="7175" width="12.140625" style="1194" customWidth="1"/>
    <col min="7176" max="7176" width="19.7109375" style="1194" customWidth="1"/>
    <col min="7177" max="7424" width="9.140625" style="1194"/>
    <col min="7425" max="7425" width="7.7109375" style="1194" customWidth="1"/>
    <col min="7426" max="7426" width="10.5703125" style="1194" customWidth="1"/>
    <col min="7427" max="7427" width="11.140625" style="1194" bestFit="1" customWidth="1"/>
    <col min="7428" max="7428" width="22.140625" style="1194" bestFit="1" customWidth="1"/>
    <col min="7429" max="7429" width="12.28515625" style="1194" customWidth="1"/>
    <col min="7430" max="7430" width="12.5703125" style="1194" customWidth="1"/>
    <col min="7431" max="7431" width="12.140625" style="1194" customWidth="1"/>
    <col min="7432" max="7432" width="19.7109375" style="1194" customWidth="1"/>
    <col min="7433" max="7680" width="9.140625" style="1194"/>
    <col min="7681" max="7681" width="7.7109375" style="1194" customWidth="1"/>
    <col min="7682" max="7682" width="10.5703125" style="1194" customWidth="1"/>
    <col min="7683" max="7683" width="11.140625" style="1194" bestFit="1" customWidth="1"/>
    <col min="7684" max="7684" width="22.140625" style="1194" bestFit="1" customWidth="1"/>
    <col min="7685" max="7685" width="12.28515625" style="1194" customWidth="1"/>
    <col min="7686" max="7686" width="12.5703125" style="1194" customWidth="1"/>
    <col min="7687" max="7687" width="12.140625" style="1194" customWidth="1"/>
    <col min="7688" max="7688" width="19.7109375" style="1194" customWidth="1"/>
    <col min="7689" max="7936" width="9.140625" style="1194"/>
    <col min="7937" max="7937" width="7.7109375" style="1194" customWidth="1"/>
    <col min="7938" max="7938" width="10.5703125" style="1194" customWidth="1"/>
    <col min="7939" max="7939" width="11.140625" style="1194" bestFit="1" customWidth="1"/>
    <col min="7940" max="7940" width="22.140625" style="1194" bestFit="1" customWidth="1"/>
    <col min="7941" max="7941" width="12.28515625" style="1194" customWidth="1"/>
    <col min="7942" max="7942" width="12.5703125" style="1194" customWidth="1"/>
    <col min="7943" max="7943" width="12.140625" style="1194" customWidth="1"/>
    <col min="7944" max="7944" width="19.7109375" style="1194" customWidth="1"/>
    <col min="7945" max="8192" width="9.140625" style="1194"/>
    <col min="8193" max="8193" width="7.7109375" style="1194" customWidth="1"/>
    <col min="8194" max="8194" width="10.5703125" style="1194" customWidth="1"/>
    <col min="8195" max="8195" width="11.140625" style="1194" bestFit="1" customWidth="1"/>
    <col min="8196" max="8196" width="22.140625" style="1194" bestFit="1" customWidth="1"/>
    <col min="8197" max="8197" width="12.28515625" style="1194" customWidth="1"/>
    <col min="8198" max="8198" width="12.5703125" style="1194" customWidth="1"/>
    <col min="8199" max="8199" width="12.140625" style="1194" customWidth="1"/>
    <col min="8200" max="8200" width="19.7109375" style="1194" customWidth="1"/>
    <col min="8201" max="8448" width="9.140625" style="1194"/>
    <col min="8449" max="8449" width="7.7109375" style="1194" customWidth="1"/>
    <col min="8450" max="8450" width="10.5703125" style="1194" customWidth="1"/>
    <col min="8451" max="8451" width="11.140625" style="1194" bestFit="1" customWidth="1"/>
    <col min="8452" max="8452" width="22.140625" style="1194" bestFit="1" customWidth="1"/>
    <col min="8453" max="8453" width="12.28515625" style="1194" customWidth="1"/>
    <col min="8454" max="8454" width="12.5703125" style="1194" customWidth="1"/>
    <col min="8455" max="8455" width="12.140625" style="1194" customWidth="1"/>
    <col min="8456" max="8456" width="19.7109375" style="1194" customWidth="1"/>
    <col min="8457" max="8704" width="9.140625" style="1194"/>
    <col min="8705" max="8705" width="7.7109375" style="1194" customWidth="1"/>
    <col min="8706" max="8706" width="10.5703125" style="1194" customWidth="1"/>
    <col min="8707" max="8707" width="11.140625" style="1194" bestFit="1" customWidth="1"/>
    <col min="8708" max="8708" width="22.140625" style="1194" bestFit="1" customWidth="1"/>
    <col min="8709" max="8709" width="12.28515625" style="1194" customWidth="1"/>
    <col min="8710" max="8710" width="12.5703125" style="1194" customWidth="1"/>
    <col min="8711" max="8711" width="12.140625" style="1194" customWidth="1"/>
    <col min="8712" max="8712" width="19.7109375" style="1194" customWidth="1"/>
    <col min="8713" max="8960" width="9.140625" style="1194"/>
    <col min="8961" max="8961" width="7.7109375" style="1194" customWidth="1"/>
    <col min="8962" max="8962" width="10.5703125" style="1194" customWidth="1"/>
    <col min="8963" max="8963" width="11.140625" style="1194" bestFit="1" customWidth="1"/>
    <col min="8964" max="8964" width="22.140625" style="1194" bestFit="1" customWidth="1"/>
    <col min="8965" max="8965" width="12.28515625" style="1194" customWidth="1"/>
    <col min="8966" max="8966" width="12.5703125" style="1194" customWidth="1"/>
    <col min="8967" max="8967" width="12.140625" style="1194" customWidth="1"/>
    <col min="8968" max="8968" width="19.7109375" style="1194" customWidth="1"/>
    <col min="8969" max="9216" width="9.140625" style="1194"/>
    <col min="9217" max="9217" width="7.7109375" style="1194" customWidth="1"/>
    <col min="9218" max="9218" width="10.5703125" style="1194" customWidth="1"/>
    <col min="9219" max="9219" width="11.140625" style="1194" bestFit="1" customWidth="1"/>
    <col min="9220" max="9220" width="22.140625" style="1194" bestFit="1" customWidth="1"/>
    <col min="9221" max="9221" width="12.28515625" style="1194" customWidth="1"/>
    <col min="9222" max="9222" width="12.5703125" style="1194" customWidth="1"/>
    <col min="9223" max="9223" width="12.140625" style="1194" customWidth="1"/>
    <col min="9224" max="9224" width="19.7109375" style="1194" customWidth="1"/>
    <col min="9225" max="9472" width="9.140625" style="1194"/>
    <col min="9473" max="9473" width="7.7109375" style="1194" customWidth="1"/>
    <col min="9474" max="9474" width="10.5703125" style="1194" customWidth="1"/>
    <col min="9475" max="9475" width="11.140625" style="1194" bestFit="1" customWidth="1"/>
    <col min="9476" max="9476" width="22.140625" style="1194" bestFit="1" customWidth="1"/>
    <col min="9477" max="9477" width="12.28515625" style="1194" customWidth="1"/>
    <col min="9478" max="9478" width="12.5703125" style="1194" customWidth="1"/>
    <col min="9479" max="9479" width="12.140625" style="1194" customWidth="1"/>
    <col min="9480" max="9480" width="19.7109375" style="1194" customWidth="1"/>
    <col min="9481" max="9728" width="9.140625" style="1194"/>
    <col min="9729" max="9729" width="7.7109375" style="1194" customWidth="1"/>
    <col min="9730" max="9730" width="10.5703125" style="1194" customWidth="1"/>
    <col min="9731" max="9731" width="11.140625" style="1194" bestFit="1" customWidth="1"/>
    <col min="9732" max="9732" width="22.140625" style="1194" bestFit="1" customWidth="1"/>
    <col min="9733" max="9733" width="12.28515625" style="1194" customWidth="1"/>
    <col min="9734" max="9734" width="12.5703125" style="1194" customWidth="1"/>
    <col min="9735" max="9735" width="12.140625" style="1194" customWidth="1"/>
    <col min="9736" max="9736" width="19.7109375" style="1194" customWidth="1"/>
    <col min="9737" max="9984" width="9.140625" style="1194"/>
    <col min="9985" max="9985" width="7.7109375" style="1194" customWidth="1"/>
    <col min="9986" max="9986" width="10.5703125" style="1194" customWidth="1"/>
    <col min="9987" max="9987" width="11.140625" style="1194" bestFit="1" customWidth="1"/>
    <col min="9988" max="9988" width="22.140625" style="1194" bestFit="1" customWidth="1"/>
    <col min="9989" max="9989" width="12.28515625" style="1194" customWidth="1"/>
    <col min="9990" max="9990" width="12.5703125" style="1194" customWidth="1"/>
    <col min="9991" max="9991" width="12.140625" style="1194" customWidth="1"/>
    <col min="9992" max="9992" width="19.7109375" style="1194" customWidth="1"/>
    <col min="9993" max="10240" width="9.140625" style="1194"/>
    <col min="10241" max="10241" width="7.7109375" style="1194" customWidth="1"/>
    <col min="10242" max="10242" width="10.5703125" style="1194" customWidth="1"/>
    <col min="10243" max="10243" width="11.140625" style="1194" bestFit="1" customWidth="1"/>
    <col min="10244" max="10244" width="22.140625" style="1194" bestFit="1" customWidth="1"/>
    <col min="10245" max="10245" width="12.28515625" style="1194" customWidth="1"/>
    <col min="10246" max="10246" width="12.5703125" style="1194" customWidth="1"/>
    <col min="10247" max="10247" width="12.140625" style="1194" customWidth="1"/>
    <col min="10248" max="10248" width="19.7109375" style="1194" customWidth="1"/>
    <col min="10249" max="10496" width="9.140625" style="1194"/>
    <col min="10497" max="10497" width="7.7109375" style="1194" customWidth="1"/>
    <col min="10498" max="10498" width="10.5703125" style="1194" customWidth="1"/>
    <col min="10499" max="10499" width="11.140625" style="1194" bestFit="1" customWidth="1"/>
    <col min="10500" max="10500" width="22.140625" style="1194" bestFit="1" customWidth="1"/>
    <col min="10501" max="10501" width="12.28515625" style="1194" customWidth="1"/>
    <col min="10502" max="10502" width="12.5703125" style="1194" customWidth="1"/>
    <col min="10503" max="10503" width="12.140625" style="1194" customWidth="1"/>
    <col min="10504" max="10504" width="19.7109375" style="1194" customWidth="1"/>
    <col min="10505" max="10752" width="9.140625" style="1194"/>
    <col min="10753" max="10753" width="7.7109375" style="1194" customWidth="1"/>
    <col min="10754" max="10754" width="10.5703125" style="1194" customWidth="1"/>
    <col min="10755" max="10755" width="11.140625" style="1194" bestFit="1" customWidth="1"/>
    <col min="10756" max="10756" width="22.140625" style="1194" bestFit="1" customWidth="1"/>
    <col min="10757" max="10757" width="12.28515625" style="1194" customWidth="1"/>
    <col min="10758" max="10758" width="12.5703125" style="1194" customWidth="1"/>
    <col min="10759" max="10759" width="12.140625" style="1194" customWidth="1"/>
    <col min="10760" max="10760" width="19.7109375" style="1194" customWidth="1"/>
    <col min="10761" max="11008" width="9.140625" style="1194"/>
    <col min="11009" max="11009" width="7.7109375" style="1194" customWidth="1"/>
    <col min="11010" max="11010" width="10.5703125" style="1194" customWidth="1"/>
    <col min="11011" max="11011" width="11.140625" style="1194" bestFit="1" customWidth="1"/>
    <col min="11012" max="11012" width="22.140625" style="1194" bestFit="1" customWidth="1"/>
    <col min="11013" max="11013" width="12.28515625" style="1194" customWidth="1"/>
    <col min="11014" max="11014" width="12.5703125" style="1194" customWidth="1"/>
    <col min="11015" max="11015" width="12.140625" style="1194" customWidth="1"/>
    <col min="11016" max="11016" width="19.7109375" style="1194" customWidth="1"/>
    <col min="11017" max="11264" width="9.140625" style="1194"/>
    <col min="11265" max="11265" width="7.7109375" style="1194" customWidth="1"/>
    <col min="11266" max="11266" width="10.5703125" style="1194" customWidth="1"/>
    <col min="11267" max="11267" width="11.140625" style="1194" bestFit="1" customWidth="1"/>
    <col min="11268" max="11268" width="22.140625" style="1194" bestFit="1" customWidth="1"/>
    <col min="11269" max="11269" width="12.28515625" style="1194" customWidth="1"/>
    <col min="11270" max="11270" width="12.5703125" style="1194" customWidth="1"/>
    <col min="11271" max="11271" width="12.140625" style="1194" customWidth="1"/>
    <col min="11272" max="11272" width="19.7109375" style="1194" customWidth="1"/>
    <col min="11273" max="11520" width="9.140625" style="1194"/>
    <col min="11521" max="11521" width="7.7109375" style="1194" customWidth="1"/>
    <col min="11522" max="11522" width="10.5703125" style="1194" customWidth="1"/>
    <col min="11523" max="11523" width="11.140625" style="1194" bestFit="1" customWidth="1"/>
    <col min="11524" max="11524" width="22.140625" style="1194" bestFit="1" customWidth="1"/>
    <col min="11525" max="11525" width="12.28515625" style="1194" customWidth="1"/>
    <col min="11526" max="11526" width="12.5703125" style="1194" customWidth="1"/>
    <col min="11527" max="11527" width="12.140625" style="1194" customWidth="1"/>
    <col min="11528" max="11528" width="19.7109375" style="1194" customWidth="1"/>
    <col min="11529" max="11776" width="9.140625" style="1194"/>
    <col min="11777" max="11777" width="7.7109375" style="1194" customWidth="1"/>
    <col min="11778" max="11778" width="10.5703125" style="1194" customWidth="1"/>
    <col min="11779" max="11779" width="11.140625" style="1194" bestFit="1" customWidth="1"/>
    <col min="11780" max="11780" width="22.140625" style="1194" bestFit="1" customWidth="1"/>
    <col min="11781" max="11781" width="12.28515625" style="1194" customWidth="1"/>
    <col min="11782" max="11782" width="12.5703125" style="1194" customWidth="1"/>
    <col min="11783" max="11783" width="12.140625" style="1194" customWidth="1"/>
    <col min="11784" max="11784" width="19.7109375" style="1194" customWidth="1"/>
    <col min="11785" max="12032" width="9.140625" style="1194"/>
    <col min="12033" max="12033" width="7.7109375" style="1194" customWidth="1"/>
    <col min="12034" max="12034" width="10.5703125" style="1194" customWidth="1"/>
    <col min="12035" max="12035" width="11.140625" style="1194" bestFit="1" customWidth="1"/>
    <col min="12036" max="12036" width="22.140625" style="1194" bestFit="1" customWidth="1"/>
    <col min="12037" max="12037" width="12.28515625" style="1194" customWidth="1"/>
    <col min="12038" max="12038" width="12.5703125" style="1194" customWidth="1"/>
    <col min="12039" max="12039" width="12.140625" style="1194" customWidth="1"/>
    <col min="12040" max="12040" width="19.7109375" style="1194" customWidth="1"/>
    <col min="12041" max="12288" width="9.140625" style="1194"/>
    <col min="12289" max="12289" width="7.7109375" style="1194" customWidth="1"/>
    <col min="12290" max="12290" width="10.5703125" style="1194" customWidth="1"/>
    <col min="12291" max="12291" width="11.140625" style="1194" bestFit="1" customWidth="1"/>
    <col min="12292" max="12292" width="22.140625" style="1194" bestFit="1" customWidth="1"/>
    <col min="12293" max="12293" width="12.28515625" style="1194" customWidth="1"/>
    <col min="12294" max="12294" width="12.5703125" style="1194" customWidth="1"/>
    <col min="12295" max="12295" width="12.140625" style="1194" customWidth="1"/>
    <col min="12296" max="12296" width="19.7109375" style="1194" customWidth="1"/>
    <col min="12297" max="12544" width="9.140625" style="1194"/>
    <col min="12545" max="12545" width="7.7109375" style="1194" customWidth="1"/>
    <col min="12546" max="12546" width="10.5703125" style="1194" customWidth="1"/>
    <col min="12547" max="12547" width="11.140625" style="1194" bestFit="1" customWidth="1"/>
    <col min="12548" max="12548" width="22.140625" style="1194" bestFit="1" customWidth="1"/>
    <col min="12549" max="12549" width="12.28515625" style="1194" customWidth="1"/>
    <col min="12550" max="12550" width="12.5703125" style="1194" customWidth="1"/>
    <col min="12551" max="12551" width="12.140625" style="1194" customWidth="1"/>
    <col min="12552" max="12552" width="19.7109375" style="1194" customWidth="1"/>
    <col min="12553" max="12800" width="9.140625" style="1194"/>
    <col min="12801" max="12801" width="7.7109375" style="1194" customWidth="1"/>
    <col min="12802" max="12802" width="10.5703125" style="1194" customWidth="1"/>
    <col min="12803" max="12803" width="11.140625" style="1194" bestFit="1" customWidth="1"/>
    <col min="12804" max="12804" width="22.140625" style="1194" bestFit="1" customWidth="1"/>
    <col min="12805" max="12805" width="12.28515625" style="1194" customWidth="1"/>
    <col min="12806" max="12806" width="12.5703125" style="1194" customWidth="1"/>
    <col min="12807" max="12807" width="12.140625" style="1194" customWidth="1"/>
    <col min="12808" max="12808" width="19.7109375" style="1194" customWidth="1"/>
    <col min="12809" max="13056" width="9.140625" style="1194"/>
    <col min="13057" max="13057" width="7.7109375" style="1194" customWidth="1"/>
    <col min="13058" max="13058" width="10.5703125" style="1194" customWidth="1"/>
    <col min="13059" max="13059" width="11.140625" style="1194" bestFit="1" customWidth="1"/>
    <col min="13060" max="13060" width="22.140625" style="1194" bestFit="1" customWidth="1"/>
    <col min="13061" max="13061" width="12.28515625" style="1194" customWidth="1"/>
    <col min="13062" max="13062" width="12.5703125" style="1194" customWidth="1"/>
    <col min="13063" max="13063" width="12.140625" style="1194" customWidth="1"/>
    <col min="13064" max="13064" width="19.7109375" style="1194" customWidth="1"/>
    <col min="13065" max="13312" width="9.140625" style="1194"/>
    <col min="13313" max="13313" width="7.7109375" style="1194" customWidth="1"/>
    <col min="13314" max="13314" width="10.5703125" style="1194" customWidth="1"/>
    <col min="13315" max="13315" width="11.140625" style="1194" bestFit="1" customWidth="1"/>
    <col min="13316" max="13316" width="22.140625" style="1194" bestFit="1" customWidth="1"/>
    <col min="13317" max="13317" width="12.28515625" style="1194" customWidth="1"/>
    <col min="13318" max="13318" width="12.5703125" style="1194" customWidth="1"/>
    <col min="13319" max="13319" width="12.140625" style="1194" customWidth="1"/>
    <col min="13320" max="13320" width="19.7109375" style="1194" customWidth="1"/>
    <col min="13321" max="13568" width="9.140625" style="1194"/>
    <col min="13569" max="13569" width="7.7109375" style="1194" customWidth="1"/>
    <col min="13570" max="13570" width="10.5703125" style="1194" customWidth="1"/>
    <col min="13571" max="13571" width="11.140625" style="1194" bestFit="1" customWidth="1"/>
    <col min="13572" max="13572" width="22.140625" style="1194" bestFit="1" customWidth="1"/>
    <col min="13573" max="13573" width="12.28515625" style="1194" customWidth="1"/>
    <col min="13574" max="13574" width="12.5703125" style="1194" customWidth="1"/>
    <col min="13575" max="13575" width="12.140625" style="1194" customWidth="1"/>
    <col min="13576" max="13576" width="19.7109375" style="1194" customWidth="1"/>
    <col min="13577" max="13824" width="9.140625" style="1194"/>
    <col min="13825" max="13825" width="7.7109375" style="1194" customWidth="1"/>
    <col min="13826" max="13826" width="10.5703125" style="1194" customWidth="1"/>
    <col min="13827" max="13827" width="11.140625" style="1194" bestFit="1" customWidth="1"/>
    <col min="13828" max="13828" width="22.140625" style="1194" bestFit="1" customWidth="1"/>
    <col min="13829" max="13829" width="12.28515625" style="1194" customWidth="1"/>
    <col min="13830" max="13830" width="12.5703125" style="1194" customWidth="1"/>
    <col min="13831" max="13831" width="12.140625" style="1194" customWidth="1"/>
    <col min="13832" max="13832" width="19.7109375" style="1194" customWidth="1"/>
    <col min="13833" max="14080" width="9.140625" style="1194"/>
    <col min="14081" max="14081" width="7.7109375" style="1194" customWidth="1"/>
    <col min="14082" max="14082" width="10.5703125" style="1194" customWidth="1"/>
    <col min="14083" max="14083" width="11.140625" style="1194" bestFit="1" customWidth="1"/>
    <col min="14084" max="14084" width="22.140625" style="1194" bestFit="1" customWidth="1"/>
    <col min="14085" max="14085" width="12.28515625" style="1194" customWidth="1"/>
    <col min="14086" max="14086" width="12.5703125" style="1194" customWidth="1"/>
    <col min="14087" max="14087" width="12.140625" style="1194" customWidth="1"/>
    <col min="14088" max="14088" width="19.7109375" style="1194" customWidth="1"/>
    <col min="14089" max="14336" width="9.140625" style="1194"/>
    <col min="14337" max="14337" width="7.7109375" style="1194" customWidth="1"/>
    <col min="14338" max="14338" width="10.5703125" style="1194" customWidth="1"/>
    <col min="14339" max="14339" width="11.140625" style="1194" bestFit="1" customWidth="1"/>
    <col min="14340" max="14340" width="22.140625" style="1194" bestFit="1" customWidth="1"/>
    <col min="14341" max="14341" width="12.28515625" style="1194" customWidth="1"/>
    <col min="14342" max="14342" width="12.5703125" style="1194" customWidth="1"/>
    <col min="14343" max="14343" width="12.140625" style="1194" customWidth="1"/>
    <col min="14344" max="14344" width="19.7109375" style="1194" customWidth="1"/>
    <col min="14345" max="14592" width="9.140625" style="1194"/>
    <col min="14593" max="14593" width="7.7109375" style="1194" customWidth="1"/>
    <col min="14594" max="14594" width="10.5703125" style="1194" customWidth="1"/>
    <col min="14595" max="14595" width="11.140625" style="1194" bestFit="1" customWidth="1"/>
    <col min="14596" max="14596" width="22.140625" style="1194" bestFit="1" customWidth="1"/>
    <col min="14597" max="14597" width="12.28515625" style="1194" customWidth="1"/>
    <col min="14598" max="14598" width="12.5703125" style="1194" customWidth="1"/>
    <col min="14599" max="14599" width="12.140625" style="1194" customWidth="1"/>
    <col min="14600" max="14600" width="19.7109375" style="1194" customWidth="1"/>
    <col min="14601" max="14848" width="9.140625" style="1194"/>
    <col min="14849" max="14849" width="7.7109375" style="1194" customWidth="1"/>
    <col min="14850" max="14850" width="10.5703125" style="1194" customWidth="1"/>
    <col min="14851" max="14851" width="11.140625" style="1194" bestFit="1" customWidth="1"/>
    <col min="14852" max="14852" width="22.140625" style="1194" bestFit="1" customWidth="1"/>
    <col min="14853" max="14853" width="12.28515625" style="1194" customWidth="1"/>
    <col min="14854" max="14854" width="12.5703125" style="1194" customWidth="1"/>
    <col min="14855" max="14855" width="12.140625" style="1194" customWidth="1"/>
    <col min="14856" max="14856" width="19.7109375" style="1194" customWidth="1"/>
    <col min="14857" max="15104" width="9.140625" style="1194"/>
    <col min="15105" max="15105" width="7.7109375" style="1194" customWidth="1"/>
    <col min="15106" max="15106" width="10.5703125" style="1194" customWidth="1"/>
    <col min="15107" max="15107" width="11.140625" style="1194" bestFit="1" customWidth="1"/>
    <col min="15108" max="15108" width="22.140625" style="1194" bestFit="1" customWidth="1"/>
    <col min="15109" max="15109" width="12.28515625" style="1194" customWidth="1"/>
    <col min="15110" max="15110" width="12.5703125" style="1194" customWidth="1"/>
    <col min="15111" max="15111" width="12.140625" style="1194" customWidth="1"/>
    <col min="15112" max="15112" width="19.7109375" style="1194" customWidth="1"/>
    <col min="15113" max="15360" width="9.140625" style="1194"/>
    <col min="15361" max="15361" width="7.7109375" style="1194" customWidth="1"/>
    <col min="15362" max="15362" width="10.5703125" style="1194" customWidth="1"/>
    <col min="15363" max="15363" width="11.140625" style="1194" bestFit="1" customWidth="1"/>
    <col min="15364" max="15364" width="22.140625" style="1194" bestFit="1" customWidth="1"/>
    <col min="15365" max="15365" width="12.28515625" style="1194" customWidth="1"/>
    <col min="15366" max="15366" width="12.5703125" style="1194" customWidth="1"/>
    <col min="15367" max="15367" width="12.140625" style="1194" customWidth="1"/>
    <col min="15368" max="15368" width="19.7109375" style="1194" customWidth="1"/>
    <col min="15369" max="15616" width="9.140625" style="1194"/>
    <col min="15617" max="15617" width="7.7109375" style="1194" customWidth="1"/>
    <col min="15618" max="15618" width="10.5703125" style="1194" customWidth="1"/>
    <col min="15619" max="15619" width="11.140625" style="1194" bestFit="1" customWidth="1"/>
    <col min="15620" max="15620" width="22.140625" style="1194" bestFit="1" customWidth="1"/>
    <col min="15621" max="15621" width="12.28515625" style="1194" customWidth="1"/>
    <col min="15622" max="15622" width="12.5703125" style="1194" customWidth="1"/>
    <col min="15623" max="15623" width="12.140625" style="1194" customWidth="1"/>
    <col min="15624" max="15624" width="19.7109375" style="1194" customWidth="1"/>
    <col min="15625" max="15872" width="9.140625" style="1194"/>
    <col min="15873" max="15873" width="7.7109375" style="1194" customWidth="1"/>
    <col min="15874" max="15874" width="10.5703125" style="1194" customWidth="1"/>
    <col min="15875" max="15875" width="11.140625" style="1194" bestFit="1" customWidth="1"/>
    <col min="15876" max="15876" width="22.140625" style="1194" bestFit="1" customWidth="1"/>
    <col min="15877" max="15877" width="12.28515625" style="1194" customWidth="1"/>
    <col min="15878" max="15878" width="12.5703125" style="1194" customWidth="1"/>
    <col min="15879" max="15879" width="12.140625" style="1194" customWidth="1"/>
    <col min="15880" max="15880" width="19.7109375" style="1194" customWidth="1"/>
    <col min="15881" max="16128" width="9.140625" style="1194"/>
    <col min="16129" max="16129" width="7.7109375" style="1194" customWidth="1"/>
    <col min="16130" max="16130" width="10.5703125" style="1194" customWidth="1"/>
    <col min="16131" max="16131" width="11.140625" style="1194" bestFit="1" customWidth="1"/>
    <col min="16132" max="16132" width="22.140625" style="1194" bestFit="1" customWidth="1"/>
    <col min="16133" max="16133" width="12.28515625" style="1194" customWidth="1"/>
    <col min="16134" max="16134" width="12.5703125" style="1194" customWidth="1"/>
    <col min="16135" max="16135" width="12.140625" style="1194" customWidth="1"/>
    <col min="16136" max="16136" width="19.7109375" style="1194" customWidth="1"/>
    <col min="16137" max="16384" width="9.140625" style="1194"/>
  </cols>
  <sheetData>
    <row r="1" spans="1:11" ht="50.1" customHeight="1">
      <c r="A1" s="4952"/>
      <c r="B1" s="4952"/>
      <c r="C1" s="1344"/>
      <c r="D1" s="1344"/>
      <c r="E1" s="1344"/>
      <c r="F1" s="1344"/>
      <c r="G1" s="1343" t="s">
        <v>1459</v>
      </c>
    </row>
    <row r="2" spans="1:11" ht="30" customHeight="1">
      <c r="A2" s="4832" t="s">
        <v>666</v>
      </c>
      <c r="B2" s="4832"/>
      <c r="C2" s="4832"/>
      <c r="D2" s="4832"/>
      <c r="E2" s="4832"/>
      <c r="F2" s="4832"/>
      <c r="G2" s="4832"/>
    </row>
    <row r="3" spans="1:11" ht="13.5" customHeight="1">
      <c r="A3" s="1342"/>
      <c r="B3" s="1342"/>
      <c r="C3" s="1342"/>
      <c r="D3" s="1342"/>
      <c r="E3" s="1342"/>
      <c r="F3" s="1342"/>
      <c r="G3" s="1341" t="s">
        <v>1</v>
      </c>
    </row>
    <row r="4" spans="1:11" ht="20.100000000000001" customHeight="1" thickBot="1">
      <c r="A4" s="4953" t="s">
        <v>665</v>
      </c>
      <c r="B4" s="4953"/>
      <c r="C4" s="4953"/>
      <c r="D4" s="4953"/>
      <c r="E4" s="4953"/>
      <c r="F4" s="4953"/>
      <c r="G4" s="4953"/>
      <c r="H4" s="1337"/>
      <c r="I4" s="1337"/>
      <c r="J4" s="1337"/>
      <c r="K4" s="1226"/>
    </row>
    <row r="5" spans="1:11" ht="20.100000000000001" customHeight="1">
      <c r="A5" s="4954" t="s">
        <v>2</v>
      </c>
      <c r="B5" s="4956" t="s">
        <v>651</v>
      </c>
      <c r="C5" s="4956" t="s">
        <v>5</v>
      </c>
      <c r="D5" s="4958" t="s">
        <v>662</v>
      </c>
      <c r="E5" s="4956" t="s">
        <v>412</v>
      </c>
      <c r="F5" s="4956"/>
      <c r="G5" s="4960" t="s">
        <v>661</v>
      </c>
      <c r="H5" s="1226"/>
      <c r="I5" s="1226"/>
      <c r="J5" s="1214"/>
    </row>
    <row r="6" spans="1:11" ht="20.100000000000001" customHeight="1">
      <c r="A6" s="4955"/>
      <c r="B6" s="4957"/>
      <c r="C6" s="4957"/>
      <c r="D6" s="4959"/>
      <c r="E6" s="1336" t="s">
        <v>660</v>
      </c>
      <c r="F6" s="1336" t="s">
        <v>659</v>
      </c>
      <c r="G6" s="4961"/>
      <c r="H6" s="1226"/>
      <c r="I6" s="1226"/>
      <c r="J6" s="1214"/>
    </row>
    <row r="7" spans="1:11" ht="20.100000000000001" customHeight="1">
      <c r="A7" s="4964">
        <v>750</v>
      </c>
      <c r="B7" s="4967">
        <v>75095</v>
      </c>
      <c r="C7" s="1334">
        <v>2057</v>
      </c>
      <c r="D7" s="1332">
        <f t="shared" ref="D7:D12" si="0">SUM(E7:F7)</f>
        <v>2484113</v>
      </c>
      <c r="E7" s="1333">
        <v>2484113</v>
      </c>
      <c r="F7" s="1332">
        <v>0</v>
      </c>
      <c r="G7" s="4970" t="s">
        <v>658</v>
      </c>
      <c r="H7" s="1214"/>
      <c r="I7" s="1214"/>
      <c r="J7" s="1214"/>
    </row>
    <row r="8" spans="1:11" ht="20.100000000000001" customHeight="1">
      <c r="A8" s="4965"/>
      <c r="B8" s="4968"/>
      <c r="C8" s="1334">
        <v>2059</v>
      </c>
      <c r="D8" s="1332">
        <f t="shared" si="0"/>
        <v>150432</v>
      </c>
      <c r="E8" s="1333">
        <v>150432</v>
      </c>
      <c r="F8" s="1332">
        <v>0</v>
      </c>
      <c r="G8" s="4972"/>
      <c r="H8" s="1214"/>
      <c r="I8" s="1214"/>
      <c r="J8" s="1214"/>
    </row>
    <row r="9" spans="1:11" ht="20.100000000000001" customHeight="1">
      <c r="A9" s="4965"/>
      <c r="B9" s="4968"/>
      <c r="C9" s="1334">
        <v>6257</v>
      </c>
      <c r="D9" s="1332">
        <f t="shared" si="0"/>
        <v>723458</v>
      </c>
      <c r="E9" s="1333">
        <v>0</v>
      </c>
      <c r="F9" s="1332">
        <v>723458</v>
      </c>
      <c r="G9" s="4972"/>
      <c r="H9" s="1214"/>
      <c r="I9" s="1214"/>
      <c r="J9" s="1214"/>
    </row>
    <row r="10" spans="1:11" ht="20.100000000000001" customHeight="1">
      <c r="A10" s="4966"/>
      <c r="B10" s="4969"/>
      <c r="C10" s="1334">
        <v>6259</v>
      </c>
      <c r="D10" s="1332">
        <f t="shared" si="0"/>
        <v>43810</v>
      </c>
      <c r="E10" s="1333">
        <v>0</v>
      </c>
      <c r="F10" s="1332">
        <v>43810</v>
      </c>
      <c r="G10" s="4971"/>
      <c r="H10" s="1214"/>
      <c r="I10" s="1214"/>
      <c r="J10" s="1214"/>
    </row>
    <row r="11" spans="1:11" ht="20.100000000000001" customHeight="1">
      <c r="A11" s="4965">
        <v>852</v>
      </c>
      <c r="B11" s="4968">
        <v>85295</v>
      </c>
      <c r="C11" s="1334">
        <v>2057</v>
      </c>
      <c r="D11" s="1332">
        <f t="shared" si="0"/>
        <v>2391539</v>
      </c>
      <c r="E11" s="1333">
        <v>2391539</v>
      </c>
      <c r="F11" s="1332">
        <v>0</v>
      </c>
      <c r="G11" s="4970" t="s">
        <v>664</v>
      </c>
      <c r="H11" s="1214"/>
      <c r="I11" s="1214"/>
      <c r="J11" s="1214"/>
    </row>
    <row r="12" spans="1:11" ht="20.100000000000001" customHeight="1">
      <c r="A12" s="4966"/>
      <c r="B12" s="4969"/>
      <c r="C12" s="1334">
        <v>2059</v>
      </c>
      <c r="D12" s="1332">
        <f t="shared" si="0"/>
        <v>414979</v>
      </c>
      <c r="E12" s="1333">
        <v>414979</v>
      </c>
      <c r="F12" s="1332">
        <v>0</v>
      </c>
      <c r="G12" s="4971"/>
      <c r="H12" s="1214"/>
      <c r="I12" s="1214"/>
      <c r="J12" s="1214"/>
    </row>
    <row r="13" spans="1:11" ht="24.95" customHeight="1" thickBot="1">
      <c r="A13" s="4962" t="s">
        <v>655</v>
      </c>
      <c r="B13" s="4963"/>
      <c r="C13" s="4963"/>
      <c r="D13" s="1330">
        <f>SUM(D7:D12)</f>
        <v>6208331</v>
      </c>
      <c r="E13" s="1330">
        <f>SUM(E7:E12)</f>
        <v>5441063</v>
      </c>
      <c r="F13" s="1330">
        <f>SUM(F7:F12)</f>
        <v>767268</v>
      </c>
      <c r="G13" s="1329"/>
      <c r="H13" s="1214"/>
      <c r="I13" s="1214"/>
      <c r="J13" s="1214"/>
    </row>
    <row r="14" spans="1:11">
      <c r="A14" s="1340"/>
      <c r="B14" s="1340"/>
      <c r="C14" s="1340"/>
      <c r="D14" s="1339"/>
      <c r="E14" s="1339"/>
      <c r="F14" s="1339"/>
      <c r="G14" s="1338"/>
      <c r="H14" s="1214"/>
      <c r="I14" s="1214"/>
      <c r="J14" s="1214"/>
    </row>
    <row r="15" spans="1:11" ht="20.100000000000001" customHeight="1" thickBot="1">
      <c r="A15" s="4953" t="s">
        <v>663</v>
      </c>
      <c r="B15" s="4953"/>
      <c r="C15" s="4953"/>
      <c r="D15" s="4953"/>
      <c r="E15" s="4953"/>
      <c r="F15" s="4953"/>
      <c r="G15" s="4953"/>
      <c r="H15" s="1337"/>
      <c r="I15" s="1337"/>
      <c r="J15" s="1337"/>
      <c r="K15" s="1226"/>
    </row>
    <row r="16" spans="1:11" ht="20.100000000000001" customHeight="1">
      <c r="A16" s="4954" t="s">
        <v>2</v>
      </c>
      <c r="B16" s="4956" t="s">
        <v>651</v>
      </c>
      <c r="C16" s="4956" t="s">
        <v>5</v>
      </c>
      <c r="D16" s="4958" t="s">
        <v>662</v>
      </c>
      <c r="E16" s="4956" t="s">
        <v>412</v>
      </c>
      <c r="F16" s="4956"/>
      <c r="G16" s="4960" t="s">
        <v>661</v>
      </c>
      <c r="H16" s="1226"/>
      <c r="I16" s="1226"/>
      <c r="J16" s="1214"/>
    </row>
    <row r="17" spans="1:10" ht="20.100000000000001" customHeight="1">
      <c r="A17" s="4955"/>
      <c r="B17" s="4957"/>
      <c r="C17" s="4957"/>
      <c r="D17" s="4959"/>
      <c r="E17" s="1336" t="s">
        <v>660</v>
      </c>
      <c r="F17" s="1336" t="s">
        <v>659</v>
      </c>
      <c r="G17" s="4961"/>
      <c r="H17" s="1226"/>
      <c r="I17" s="1226"/>
      <c r="J17" s="1214"/>
    </row>
    <row r="18" spans="1:10" ht="20.100000000000001" customHeight="1">
      <c r="A18" s="4964">
        <v>750</v>
      </c>
      <c r="B18" s="4967">
        <v>75095</v>
      </c>
      <c r="C18" s="1334">
        <v>2007</v>
      </c>
      <c r="D18" s="1332">
        <f t="shared" ref="D18:D24" si="1">SUM(E18:F18)</f>
        <v>290967</v>
      </c>
      <c r="E18" s="1333">
        <v>290967</v>
      </c>
      <c r="F18" s="1332">
        <v>0</v>
      </c>
      <c r="G18" s="4970" t="s">
        <v>658</v>
      </c>
      <c r="H18" s="1214"/>
      <c r="I18" s="1214"/>
      <c r="J18" s="1214"/>
    </row>
    <row r="19" spans="1:10" ht="20.100000000000001" customHeight="1">
      <c r="A19" s="4965"/>
      <c r="B19" s="4968"/>
      <c r="C19" s="1334">
        <v>2009</v>
      </c>
      <c r="D19" s="1332">
        <f t="shared" si="1"/>
        <v>17618</v>
      </c>
      <c r="E19" s="1333">
        <v>17618</v>
      </c>
      <c r="F19" s="1332">
        <v>0</v>
      </c>
      <c r="G19" s="4972"/>
      <c r="H19" s="1214"/>
      <c r="I19" s="1214"/>
      <c r="J19" s="1214"/>
    </row>
    <row r="20" spans="1:10" ht="20.100000000000001" customHeight="1">
      <c r="A20" s="4965"/>
      <c r="B20" s="4968"/>
      <c r="C20" s="1334">
        <v>6207</v>
      </c>
      <c r="D20" s="1332">
        <f t="shared" si="1"/>
        <v>55651</v>
      </c>
      <c r="E20" s="1333">
        <v>0</v>
      </c>
      <c r="F20" s="1332">
        <v>55651</v>
      </c>
      <c r="G20" s="4972"/>
      <c r="H20" s="1214"/>
      <c r="I20" s="1214"/>
      <c r="J20" s="1214"/>
    </row>
    <row r="21" spans="1:10" ht="20.100000000000001" customHeight="1">
      <c r="A21" s="4965"/>
      <c r="B21" s="4968"/>
      <c r="C21" s="1334">
        <v>6209</v>
      </c>
      <c r="D21" s="1332">
        <f t="shared" si="1"/>
        <v>3371</v>
      </c>
      <c r="E21" s="1333">
        <v>0</v>
      </c>
      <c r="F21" s="1332">
        <v>3371</v>
      </c>
      <c r="G21" s="4971"/>
      <c r="H21" s="1214"/>
      <c r="I21" s="1214"/>
      <c r="J21" s="1214"/>
    </row>
    <row r="22" spans="1:10" ht="24" hidden="1" customHeight="1">
      <c r="A22" s="4965"/>
      <c r="B22" s="4968"/>
      <c r="C22" s="1334">
        <v>2007</v>
      </c>
      <c r="D22" s="1332">
        <f t="shared" si="1"/>
        <v>0</v>
      </c>
      <c r="E22" s="1333"/>
      <c r="F22" s="1332">
        <v>0</v>
      </c>
      <c r="G22" s="4970" t="s">
        <v>657</v>
      </c>
      <c r="H22" s="1214"/>
      <c r="I22" s="1214"/>
      <c r="J22" s="1214"/>
    </row>
    <row r="23" spans="1:10" ht="23.25" hidden="1" customHeight="1">
      <c r="A23" s="4966"/>
      <c r="B23" s="4969"/>
      <c r="C23" s="1334">
        <v>2009</v>
      </c>
      <c r="D23" s="1332">
        <f t="shared" si="1"/>
        <v>0</v>
      </c>
      <c r="E23" s="1333"/>
      <c r="F23" s="1332">
        <v>0</v>
      </c>
      <c r="G23" s="4971"/>
      <c r="H23" s="1214"/>
      <c r="I23" s="1214"/>
      <c r="J23" s="1214"/>
    </row>
    <row r="24" spans="1:10" ht="25.5" hidden="1">
      <c r="A24" s="1335">
        <v>853</v>
      </c>
      <c r="B24" s="1334">
        <v>85395</v>
      </c>
      <c r="C24" s="1334">
        <v>2009</v>
      </c>
      <c r="D24" s="1332">
        <f t="shared" si="1"/>
        <v>0</v>
      </c>
      <c r="E24" s="1333"/>
      <c r="F24" s="1332">
        <v>0</v>
      </c>
      <c r="G24" s="1331" t="s">
        <v>656</v>
      </c>
      <c r="H24" s="1214"/>
      <c r="I24" s="1214"/>
      <c r="J24" s="1214"/>
    </row>
    <row r="25" spans="1:10" ht="24.95" customHeight="1" thickBot="1">
      <c r="A25" s="4962" t="s">
        <v>655</v>
      </c>
      <c r="B25" s="4963"/>
      <c r="C25" s="4963"/>
      <c r="D25" s="1330">
        <f>SUM(D18:D24)</f>
        <v>367607</v>
      </c>
      <c r="E25" s="1330">
        <f>SUM(E18:E24)</f>
        <v>308585</v>
      </c>
      <c r="F25" s="1330">
        <f>SUM(F18:F24)</f>
        <v>59022</v>
      </c>
      <c r="G25" s="1329"/>
      <c r="H25" s="1214"/>
      <c r="I25" s="1214"/>
      <c r="J25" s="1214"/>
    </row>
    <row r="26" spans="1:10">
      <c r="A26" s="1328"/>
      <c r="B26" s="1196"/>
      <c r="C26" s="1196"/>
      <c r="D26" s="1196"/>
      <c r="E26" s="1196"/>
      <c r="F26" s="1196"/>
      <c r="G26" s="1328"/>
      <c r="H26" s="1214"/>
      <c r="I26" s="1214"/>
      <c r="J26" s="1214"/>
    </row>
    <row r="27" spans="1:10">
      <c r="A27" s="1328"/>
      <c r="B27" s="1196"/>
      <c r="C27" s="1196"/>
      <c r="D27" s="1196"/>
      <c r="E27" s="1196"/>
      <c r="F27" s="1196"/>
      <c r="G27" s="1328"/>
      <c r="H27" s="1214"/>
      <c r="I27" s="1214"/>
      <c r="J27" s="1214"/>
    </row>
    <row r="28" spans="1:10">
      <c r="A28" s="1328"/>
      <c r="B28" s="1196"/>
      <c r="C28" s="1196"/>
      <c r="D28" s="1196"/>
      <c r="E28" s="1196"/>
      <c r="F28" s="1196"/>
      <c r="G28" s="1328"/>
      <c r="H28" s="1214"/>
      <c r="I28" s="1214"/>
      <c r="J28" s="1214"/>
    </row>
    <row r="29" spans="1:10">
      <c r="A29" s="1328"/>
      <c r="B29" s="1196"/>
      <c r="C29" s="1196"/>
      <c r="D29" s="1196"/>
      <c r="E29" s="1196"/>
      <c r="F29" s="1196"/>
      <c r="G29" s="1328"/>
      <c r="H29" s="1214"/>
      <c r="I29" s="1214"/>
      <c r="J29" s="1214"/>
    </row>
    <row r="30" spans="1:10">
      <c r="A30" s="1328"/>
      <c r="B30" s="1196"/>
      <c r="C30" s="1196"/>
      <c r="D30" s="1199"/>
      <c r="E30" s="1199"/>
      <c r="F30" s="1199"/>
      <c r="G30" s="1328"/>
      <c r="H30" s="1214"/>
      <c r="I30" s="1214"/>
      <c r="J30" s="1214"/>
    </row>
    <row r="31" spans="1:10" s="1326" customFormat="1">
      <c r="A31" s="1327"/>
      <c r="B31" s="1196"/>
      <c r="C31" s="1202"/>
      <c r="D31" s="1202"/>
      <c r="E31" s="1195"/>
      <c r="F31" s="1328"/>
      <c r="G31" s="1327"/>
      <c r="H31" s="1224"/>
      <c r="I31" s="1216"/>
      <c r="J31" s="1216"/>
    </row>
    <row r="32" spans="1:10">
      <c r="D32" s="1205"/>
      <c r="E32" s="1196"/>
      <c r="F32" s="1196"/>
    </row>
    <row r="34" spans="5:6">
      <c r="E34" s="1196"/>
      <c r="F34" s="1196"/>
    </row>
  </sheetData>
  <sheetProtection algorithmName="SHA-512" hashValue="ys89sxdn/Dt4rZAsaRqntKIYDQOEJ7jT1OwwJHSFvo7NKqXNqj1kTI4ffC/bFzWxibeUeBdoR6gPrGh/W34U9g==" saltValue="EyfA9XW2O3agw87JsAQH+g==" spinCount="100000" sheet="1" objects="1" scenarios="1"/>
  <mergeCells count="28">
    <mergeCell ref="G11:G12"/>
    <mergeCell ref="A11:A12"/>
    <mergeCell ref="B11:B12"/>
    <mergeCell ref="G7:G10"/>
    <mergeCell ref="A7:A10"/>
    <mergeCell ref="B7:B10"/>
    <mergeCell ref="A25:C25"/>
    <mergeCell ref="A13:C13"/>
    <mergeCell ref="A15:G15"/>
    <mergeCell ref="A16:A17"/>
    <mergeCell ref="B16:B17"/>
    <mergeCell ref="C16:C17"/>
    <mergeCell ref="D16:D17"/>
    <mergeCell ref="E16:F16"/>
    <mergeCell ref="G16:G17"/>
    <mergeCell ref="A18:A23"/>
    <mergeCell ref="B18:B23"/>
    <mergeCell ref="G22:G23"/>
    <mergeCell ref="G18:G21"/>
    <mergeCell ref="A1:B1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63AC-CFEF-40E1-A19E-8D30DC049860}">
  <sheetPr>
    <tabColor rgb="FF92D050"/>
  </sheetPr>
  <dimension ref="A1:L37"/>
  <sheetViews>
    <sheetView view="pageBreakPreview" topLeftCell="A19" zoomScaleSheetLayoutView="100" workbookViewId="0">
      <selection activeCell="R6" sqref="R6"/>
    </sheetView>
  </sheetViews>
  <sheetFormatPr defaultRowHeight="12.75"/>
  <cols>
    <col min="1" max="6" width="12.7109375" style="1195" customWidth="1"/>
    <col min="7" max="7" width="60.7109375" style="1195" customWidth="1"/>
    <col min="8" max="8" width="19.7109375" style="1194" customWidth="1"/>
    <col min="9" max="9" width="9.140625" style="1194"/>
    <col min="10" max="10" width="11.140625" style="1194" bestFit="1" customWidth="1"/>
    <col min="11" max="256" width="9.140625" style="1194"/>
    <col min="257" max="257" width="7.7109375" style="1194" customWidth="1"/>
    <col min="258" max="258" width="10.5703125" style="1194" customWidth="1"/>
    <col min="259" max="259" width="11.140625" style="1194" bestFit="1" customWidth="1"/>
    <col min="260" max="260" width="22.140625" style="1194" bestFit="1" customWidth="1"/>
    <col min="261" max="261" width="12.28515625" style="1194" customWidth="1"/>
    <col min="262" max="262" width="12.5703125" style="1194" customWidth="1"/>
    <col min="263" max="263" width="12.140625" style="1194" customWidth="1"/>
    <col min="264" max="264" width="19.7109375" style="1194" customWidth="1"/>
    <col min="265" max="512" width="9.140625" style="1194"/>
    <col min="513" max="513" width="7.7109375" style="1194" customWidth="1"/>
    <col min="514" max="514" width="10.5703125" style="1194" customWidth="1"/>
    <col min="515" max="515" width="11.140625" style="1194" bestFit="1" customWidth="1"/>
    <col min="516" max="516" width="22.140625" style="1194" bestFit="1" customWidth="1"/>
    <col min="517" max="517" width="12.28515625" style="1194" customWidth="1"/>
    <col min="518" max="518" width="12.5703125" style="1194" customWidth="1"/>
    <col min="519" max="519" width="12.140625" style="1194" customWidth="1"/>
    <col min="520" max="520" width="19.7109375" style="1194" customWidth="1"/>
    <col min="521" max="768" width="9.140625" style="1194"/>
    <col min="769" max="769" width="7.7109375" style="1194" customWidth="1"/>
    <col min="770" max="770" width="10.5703125" style="1194" customWidth="1"/>
    <col min="771" max="771" width="11.140625" style="1194" bestFit="1" customWidth="1"/>
    <col min="772" max="772" width="22.140625" style="1194" bestFit="1" customWidth="1"/>
    <col min="773" max="773" width="12.28515625" style="1194" customWidth="1"/>
    <col min="774" max="774" width="12.5703125" style="1194" customWidth="1"/>
    <col min="775" max="775" width="12.140625" style="1194" customWidth="1"/>
    <col min="776" max="776" width="19.7109375" style="1194" customWidth="1"/>
    <col min="777" max="1024" width="9.140625" style="1194"/>
    <col min="1025" max="1025" width="7.7109375" style="1194" customWidth="1"/>
    <col min="1026" max="1026" width="10.5703125" style="1194" customWidth="1"/>
    <col min="1027" max="1027" width="11.140625" style="1194" bestFit="1" customWidth="1"/>
    <col min="1028" max="1028" width="22.140625" style="1194" bestFit="1" customWidth="1"/>
    <col min="1029" max="1029" width="12.28515625" style="1194" customWidth="1"/>
    <col min="1030" max="1030" width="12.5703125" style="1194" customWidth="1"/>
    <col min="1031" max="1031" width="12.140625" style="1194" customWidth="1"/>
    <col min="1032" max="1032" width="19.7109375" style="1194" customWidth="1"/>
    <col min="1033" max="1280" width="9.140625" style="1194"/>
    <col min="1281" max="1281" width="7.7109375" style="1194" customWidth="1"/>
    <col min="1282" max="1282" width="10.5703125" style="1194" customWidth="1"/>
    <col min="1283" max="1283" width="11.140625" style="1194" bestFit="1" customWidth="1"/>
    <col min="1284" max="1284" width="22.140625" style="1194" bestFit="1" customWidth="1"/>
    <col min="1285" max="1285" width="12.28515625" style="1194" customWidth="1"/>
    <col min="1286" max="1286" width="12.5703125" style="1194" customWidth="1"/>
    <col min="1287" max="1287" width="12.140625" style="1194" customWidth="1"/>
    <col min="1288" max="1288" width="19.7109375" style="1194" customWidth="1"/>
    <col min="1289" max="1536" width="9.140625" style="1194"/>
    <col min="1537" max="1537" width="7.7109375" style="1194" customWidth="1"/>
    <col min="1538" max="1538" width="10.5703125" style="1194" customWidth="1"/>
    <col min="1539" max="1539" width="11.140625" style="1194" bestFit="1" customWidth="1"/>
    <col min="1540" max="1540" width="22.140625" style="1194" bestFit="1" customWidth="1"/>
    <col min="1541" max="1541" width="12.28515625" style="1194" customWidth="1"/>
    <col min="1542" max="1542" width="12.5703125" style="1194" customWidth="1"/>
    <col min="1543" max="1543" width="12.140625" style="1194" customWidth="1"/>
    <col min="1544" max="1544" width="19.7109375" style="1194" customWidth="1"/>
    <col min="1545" max="1792" width="9.140625" style="1194"/>
    <col min="1793" max="1793" width="7.7109375" style="1194" customWidth="1"/>
    <col min="1794" max="1794" width="10.5703125" style="1194" customWidth="1"/>
    <col min="1795" max="1795" width="11.140625" style="1194" bestFit="1" customWidth="1"/>
    <col min="1796" max="1796" width="22.140625" style="1194" bestFit="1" customWidth="1"/>
    <col min="1797" max="1797" width="12.28515625" style="1194" customWidth="1"/>
    <col min="1798" max="1798" width="12.5703125" style="1194" customWidth="1"/>
    <col min="1799" max="1799" width="12.140625" style="1194" customWidth="1"/>
    <col min="1800" max="1800" width="19.7109375" style="1194" customWidth="1"/>
    <col min="1801" max="2048" width="9.140625" style="1194"/>
    <col min="2049" max="2049" width="7.7109375" style="1194" customWidth="1"/>
    <col min="2050" max="2050" width="10.5703125" style="1194" customWidth="1"/>
    <col min="2051" max="2051" width="11.140625" style="1194" bestFit="1" customWidth="1"/>
    <col min="2052" max="2052" width="22.140625" style="1194" bestFit="1" customWidth="1"/>
    <col min="2053" max="2053" width="12.28515625" style="1194" customWidth="1"/>
    <col min="2054" max="2054" width="12.5703125" style="1194" customWidth="1"/>
    <col min="2055" max="2055" width="12.140625" style="1194" customWidth="1"/>
    <col min="2056" max="2056" width="19.7109375" style="1194" customWidth="1"/>
    <col min="2057" max="2304" width="9.140625" style="1194"/>
    <col min="2305" max="2305" width="7.7109375" style="1194" customWidth="1"/>
    <col min="2306" max="2306" width="10.5703125" style="1194" customWidth="1"/>
    <col min="2307" max="2307" width="11.140625" style="1194" bestFit="1" customWidth="1"/>
    <col min="2308" max="2308" width="22.140625" style="1194" bestFit="1" customWidth="1"/>
    <col min="2309" max="2309" width="12.28515625" style="1194" customWidth="1"/>
    <col min="2310" max="2310" width="12.5703125" style="1194" customWidth="1"/>
    <col min="2311" max="2311" width="12.140625" style="1194" customWidth="1"/>
    <col min="2312" max="2312" width="19.7109375" style="1194" customWidth="1"/>
    <col min="2313" max="2560" width="9.140625" style="1194"/>
    <col min="2561" max="2561" width="7.7109375" style="1194" customWidth="1"/>
    <col min="2562" max="2562" width="10.5703125" style="1194" customWidth="1"/>
    <col min="2563" max="2563" width="11.140625" style="1194" bestFit="1" customWidth="1"/>
    <col min="2564" max="2564" width="22.140625" style="1194" bestFit="1" customWidth="1"/>
    <col min="2565" max="2565" width="12.28515625" style="1194" customWidth="1"/>
    <col min="2566" max="2566" width="12.5703125" style="1194" customWidth="1"/>
    <col min="2567" max="2567" width="12.140625" style="1194" customWidth="1"/>
    <col min="2568" max="2568" width="19.7109375" style="1194" customWidth="1"/>
    <col min="2569" max="2816" width="9.140625" style="1194"/>
    <col min="2817" max="2817" width="7.7109375" style="1194" customWidth="1"/>
    <col min="2818" max="2818" width="10.5703125" style="1194" customWidth="1"/>
    <col min="2819" max="2819" width="11.140625" style="1194" bestFit="1" customWidth="1"/>
    <col min="2820" max="2820" width="22.140625" style="1194" bestFit="1" customWidth="1"/>
    <col min="2821" max="2821" width="12.28515625" style="1194" customWidth="1"/>
    <col min="2822" max="2822" width="12.5703125" style="1194" customWidth="1"/>
    <col min="2823" max="2823" width="12.140625" style="1194" customWidth="1"/>
    <col min="2824" max="2824" width="19.7109375" style="1194" customWidth="1"/>
    <col min="2825" max="3072" width="9.140625" style="1194"/>
    <col min="3073" max="3073" width="7.7109375" style="1194" customWidth="1"/>
    <col min="3074" max="3074" width="10.5703125" style="1194" customWidth="1"/>
    <col min="3075" max="3075" width="11.140625" style="1194" bestFit="1" customWidth="1"/>
    <col min="3076" max="3076" width="22.140625" style="1194" bestFit="1" customWidth="1"/>
    <col min="3077" max="3077" width="12.28515625" style="1194" customWidth="1"/>
    <col min="3078" max="3078" width="12.5703125" style="1194" customWidth="1"/>
    <col min="3079" max="3079" width="12.140625" style="1194" customWidth="1"/>
    <col min="3080" max="3080" width="19.7109375" style="1194" customWidth="1"/>
    <col min="3081" max="3328" width="9.140625" style="1194"/>
    <col min="3329" max="3329" width="7.7109375" style="1194" customWidth="1"/>
    <col min="3330" max="3330" width="10.5703125" style="1194" customWidth="1"/>
    <col min="3331" max="3331" width="11.140625" style="1194" bestFit="1" customWidth="1"/>
    <col min="3332" max="3332" width="22.140625" style="1194" bestFit="1" customWidth="1"/>
    <col min="3333" max="3333" width="12.28515625" style="1194" customWidth="1"/>
    <col min="3334" max="3334" width="12.5703125" style="1194" customWidth="1"/>
    <col min="3335" max="3335" width="12.140625" style="1194" customWidth="1"/>
    <col min="3336" max="3336" width="19.7109375" style="1194" customWidth="1"/>
    <col min="3337" max="3584" width="9.140625" style="1194"/>
    <col min="3585" max="3585" width="7.7109375" style="1194" customWidth="1"/>
    <col min="3586" max="3586" width="10.5703125" style="1194" customWidth="1"/>
    <col min="3587" max="3587" width="11.140625" style="1194" bestFit="1" customWidth="1"/>
    <col min="3588" max="3588" width="22.140625" style="1194" bestFit="1" customWidth="1"/>
    <col min="3589" max="3589" width="12.28515625" style="1194" customWidth="1"/>
    <col min="3590" max="3590" width="12.5703125" style="1194" customWidth="1"/>
    <col min="3591" max="3591" width="12.140625" style="1194" customWidth="1"/>
    <col min="3592" max="3592" width="19.7109375" style="1194" customWidth="1"/>
    <col min="3593" max="3840" width="9.140625" style="1194"/>
    <col min="3841" max="3841" width="7.7109375" style="1194" customWidth="1"/>
    <col min="3842" max="3842" width="10.5703125" style="1194" customWidth="1"/>
    <col min="3843" max="3843" width="11.140625" style="1194" bestFit="1" customWidth="1"/>
    <col min="3844" max="3844" width="22.140625" style="1194" bestFit="1" customWidth="1"/>
    <col min="3845" max="3845" width="12.28515625" style="1194" customWidth="1"/>
    <col min="3846" max="3846" width="12.5703125" style="1194" customWidth="1"/>
    <col min="3847" max="3847" width="12.140625" style="1194" customWidth="1"/>
    <col min="3848" max="3848" width="19.7109375" style="1194" customWidth="1"/>
    <col min="3849" max="4096" width="9.140625" style="1194"/>
    <col min="4097" max="4097" width="7.7109375" style="1194" customWidth="1"/>
    <col min="4098" max="4098" width="10.5703125" style="1194" customWidth="1"/>
    <col min="4099" max="4099" width="11.140625" style="1194" bestFit="1" customWidth="1"/>
    <col min="4100" max="4100" width="22.140625" style="1194" bestFit="1" customWidth="1"/>
    <col min="4101" max="4101" width="12.28515625" style="1194" customWidth="1"/>
    <col min="4102" max="4102" width="12.5703125" style="1194" customWidth="1"/>
    <col min="4103" max="4103" width="12.140625" style="1194" customWidth="1"/>
    <col min="4104" max="4104" width="19.7109375" style="1194" customWidth="1"/>
    <col min="4105" max="4352" width="9.140625" style="1194"/>
    <col min="4353" max="4353" width="7.7109375" style="1194" customWidth="1"/>
    <col min="4354" max="4354" width="10.5703125" style="1194" customWidth="1"/>
    <col min="4355" max="4355" width="11.140625" style="1194" bestFit="1" customWidth="1"/>
    <col min="4356" max="4356" width="22.140625" style="1194" bestFit="1" customWidth="1"/>
    <col min="4357" max="4357" width="12.28515625" style="1194" customWidth="1"/>
    <col min="4358" max="4358" width="12.5703125" style="1194" customWidth="1"/>
    <col min="4359" max="4359" width="12.140625" style="1194" customWidth="1"/>
    <col min="4360" max="4360" width="19.7109375" style="1194" customWidth="1"/>
    <col min="4361" max="4608" width="9.140625" style="1194"/>
    <col min="4609" max="4609" width="7.7109375" style="1194" customWidth="1"/>
    <col min="4610" max="4610" width="10.5703125" style="1194" customWidth="1"/>
    <col min="4611" max="4611" width="11.140625" style="1194" bestFit="1" customWidth="1"/>
    <col min="4612" max="4612" width="22.140625" style="1194" bestFit="1" customWidth="1"/>
    <col min="4613" max="4613" width="12.28515625" style="1194" customWidth="1"/>
    <col min="4614" max="4614" width="12.5703125" style="1194" customWidth="1"/>
    <col min="4615" max="4615" width="12.140625" style="1194" customWidth="1"/>
    <col min="4616" max="4616" width="19.7109375" style="1194" customWidth="1"/>
    <col min="4617" max="4864" width="9.140625" style="1194"/>
    <col min="4865" max="4865" width="7.7109375" style="1194" customWidth="1"/>
    <col min="4866" max="4866" width="10.5703125" style="1194" customWidth="1"/>
    <col min="4867" max="4867" width="11.140625" style="1194" bestFit="1" customWidth="1"/>
    <col min="4868" max="4868" width="22.140625" style="1194" bestFit="1" customWidth="1"/>
    <col min="4869" max="4869" width="12.28515625" style="1194" customWidth="1"/>
    <col min="4870" max="4870" width="12.5703125" style="1194" customWidth="1"/>
    <col min="4871" max="4871" width="12.140625" style="1194" customWidth="1"/>
    <col min="4872" max="4872" width="19.7109375" style="1194" customWidth="1"/>
    <col min="4873" max="5120" width="9.140625" style="1194"/>
    <col min="5121" max="5121" width="7.7109375" style="1194" customWidth="1"/>
    <col min="5122" max="5122" width="10.5703125" style="1194" customWidth="1"/>
    <col min="5123" max="5123" width="11.140625" style="1194" bestFit="1" customWidth="1"/>
    <col min="5124" max="5124" width="22.140625" style="1194" bestFit="1" customWidth="1"/>
    <col min="5125" max="5125" width="12.28515625" style="1194" customWidth="1"/>
    <col min="5126" max="5126" width="12.5703125" style="1194" customWidth="1"/>
    <col min="5127" max="5127" width="12.140625" style="1194" customWidth="1"/>
    <col min="5128" max="5128" width="19.7109375" style="1194" customWidth="1"/>
    <col min="5129" max="5376" width="9.140625" style="1194"/>
    <col min="5377" max="5377" width="7.7109375" style="1194" customWidth="1"/>
    <col min="5378" max="5378" width="10.5703125" style="1194" customWidth="1"/>
    <col min="5379" max="5379" width="11.140625" style="1194" bestFit="1" customWidth="1"/>
    <col min="5380" max="5380" width="22.140625" style="1194" bestFit="1" customWidth="1"/>
    <col min="5381" max="5381" width="12.28515625" style="1194" customWidth="1"/>
    <col min="5382" max="5382" width="12.5703125" style="1194" customWidth="1"/>
    <col min="5383" max="5383" width="12.140625" style="1194" customWidth="1"/>
    <col min="5384" max="5384" width="19.7109375" style="1194" customWidth="1"/>
    <col min="5385" max="5632" width="9.140625" style="1194"/>
    <col min="5633" max="5633" width="7.7109375" style="1194" customWidth="1"/>
    <col min="5634" max="5634" width="10.5703125" style="1194" customWidth="1"/>
    <col min="5635" max="5635" width="11.140625" style="1194" bestFit="1" customWidth="1"/>
    <col min="5636" max="5636" width="22.140625" style="1194" bestFit="1" customWidth="1"/>
    <col min="5637" max="5637" width="12.28515625" style="1194" customWidth="1"/>
    <col min="5638" max="5638" width="12.5703125" style="1194" customWidth="1"/>
    <col min="5639" max="5639" width="12.140625" style="1194" customWidth="1"/>
    <col min="5640" max="5640" width="19.7109375" style="1194" customWidth="1"/>
    <col min="5641" max="5888" width="9.140625" style="1194"/>
    <col min="5889" max="5889" width="7.7109375" style="1194" customWidth="1"/>
    <col min="5890" max="5890" width="10.5703125" style="1194" customWidth="1"/>
    <col min="5891" max="5891" width="11.140625" style="1194" bestFit="1" customWidth="1"/>
    <col min="5892" max="5892" width="22.140625" style="1194" bestFit="1" customWidth="1"/>
    <col min="5893" max="5893" width="12.28515625" style="1194" customWidth="1"/>
    <col min="5894" max="5894" width="12.5703125" style="1194" customWidth="1"/>
    <col min="5895" max="5895" width="12.140625" style="1194" customWidth="1"/>
    <col min="5896" max="5896" width="19.7109375" style="1194" customWidth="1"/>
    <col min="5897" max="6144" width="9.140625" style="1194"/>
    <col min="6145" max="6145" width="7.7109375" style="1194" customWidth="1"/>
    <col min="6146" max="6146" width="10.5703125" style="1194" customWidth="1"/>
    <col min="6147" max="6147" width="11.140625" style="1194" bestFit="1" customWidth="1"/>
    <col min="6148" max="6148" width="22.140625" style="1194" bestFit="1" customWidth="1"/>
    <col min="6149" max="6149" width="12.28515625" style="1194" customWidth="1"/>
    <col min="6150" max="6150" width="12.5703125" style="1194" customWidth="1"/>
    <col min="6151" max="6151" width="12.140625" style="1194" customWidth="1"/>
    <col min="6152" max="6152" width="19.7109375" style="1194" customWidth="1"/>
    <col min="6153" max="6400" width="9.140625" style="1194"/>
    <col min="6401" max="6401" width="7.7109375" style="1194" customWidth="1"/>
    <col min="6402" max="6402" width="10.5703125" style="1194" customWidth="1"/>
    <col min="6403" max="6403" width="11.140625" style="1194" bestFit="1" customWidth="1"/>
    <col min="6404" max="6404" width="22.140625" style="1194" bestFit="1" customWidth="1"/>
    <col min="6405" max="6405" width="12.28515625" style="1194" customWidth="1"/>
    <col min="6406" max="6406" width="12.5703125" style="1194" customWidth="1"/>
    <col min="6407" max="6407" width="12.140625" style="1194" customWidth="1"/>
    <col min="6408" max="6408" width="19.7109375" style="1194" customWidth="1"/>
    <col min="6409" max="6656" width="9.140625" style="1194"/>
    <col min="6657" max="6657" width="7.7109375" style="1194" customWidth="1"/>
    <col min="6658" max="6658" width="10.5703125" style="1194" customWidth="1"/>
    <col min="6659" max="6659" width="11.140625" style="1194" bestFit="1" customWidth="1"/>
    <col min="6660" max="6660" width="22.140625" style="1194" bestFit="1" customWidth="1"/>
    <col min="6661" max="6661" width="12.28515625" style="1194" customWidth="1"/>
    <col min="6662" max="6662" width="12.5703125" style="1194" customWidth="1"/>
    <col min="6663" max="6663" width="12.140625" style="1194" customWidth="1"/>
    <col min="6664" max="6664" width="19.7109375" style="1194" customWidth="1"/>
    <col min="6665" max="6912" width="9.140625" style="1194"/>
    <col min="6913" max="6913" width="7.7109375" style="1194" customWidth="1"/>
    <col min="6914" max="6914" width="10.5703125" style="1194" customWidth="1"/>
    <col min="6915" max="6915" width="11.140625" style="1194" bestFit="1" customWidth="1"/>
    <col min="6916" max="6916" width="22.140625" style="1194" bestFit="1" customWidth="1"/>
    <col min="6917" max="6917" width="12.28515625" style="1194" customWidth="1"/>
    <col min="6918" max="6918" width="12.5703125" style="1194" customWidth="1"/>
    <col min="6919" max="6919" width="12.140625" style="1194" customWidth="1"/>
    <col min="6920" max="6920" width="19.7109375" style="1194" customWidth="1"/>
    <col min="6921" max="7168" width="9.140625" style="1194"/>
    <col min="7169" max="7169" width="7.7109375" style="1194" customWidth="1"/>
    <col min="7170" max="7170" width="10.5703125" style="1194" customWidth="1"/>
    <col min="7171" max="7171" width="11.140625" style="1194" bestFit="1" customWidth="1"/>
    <col min="7172" max="7172" width="22.140625" style="1194" bestFit="1" customWidth="1"/>
    <col min="7173" max="7173" width="12.28515625" style="1194" customWidth="1"/>
    <col min="7174" max="7174" width="12.5703125" style="1194" customWidth="1"/>
    <col min="7175" max="7175" width="12.140625" style="1194" customWidth="1"/>
    <col min="7176" max="7176" width="19.7109375" style="1194" customWidth="1"/>
    <col min="7177" max="7424" width="9.140625" style="1194"/>
    <col min="7425" max="7425" width="7.7109375" style="1194" customWidth="1"/>
    <col min="7426" max="7426" width="10.5703125" style="1194" customWidth="1"/>
    <col min="7427" max="7427" width="11.140625" style="1194" bestFit="1" customWidth="1"/>
    <col min="7428" max="7428" width="22.140625" style="1194" bestFit="1" customWidth="1"/>
    <col min="7429" max="7429" width="12.28515625" style="1194" customWidth="1"/>
    <col min="7430" max="7430" width="12.5703125" style="1194" customWidth="1"/>
    <col min="7431" max="7431" width="12.140625" style="1194" customWidth="1"/>
    <col min="7432" max="7432" width="19.7109375" style="1194" customWidth="1"/>
    <col min="7433" max="7680" width="9.140625" style="1194"/>
    <col min="7681" max="7681" width="7.7109375" style="1194" customWidth="1"/>
    <col min="7682" max="7682" width="10.5703125" style="1194" customWidth="1"/>
    <col min="7683" max="7683" width="11.140625" style="1194" bestFit="1" customWidth="1"/>
    <col min="7684" max="7684" width="22.140625" style="1194" bestFit="1" customWidth="1"/>
    <col min="7685" max="7685" width="12.28515625" style="1194" customWidth="1"/>
    <col min="7686" max="7686" width="12.5703125" style="1194" customWidth="1"/>
    <col min="7687" max="7687" width="12.140625" style="1194" customWidth="1"/>
    <col min="7688" max="7688" width="19.7109375" style="1194" customWidth="1"/>
    <col min="7689" max="7936" width="9.140625" style="1194"/>
    <col min="7937" max="7937" width="7.7109375" style="1194" customWidth="1"/>
    <col min="7938" max="7938" width="10.5703125" style="1194" customWidth="1"/>
    <col min="7939" max="7939" width="11.140625" style="1194" bestFit="1" customWidth="1"/>
    <col min="7940" max="7940" width="22.140625" style="1194" bestFit="1" customWidth="1"/>
    <col min="7941" max="7941" width="12.28515625" style="1194" customWidth="1"/>
    <col min="7942" max="7942" width="12.5703125" style="1194" customWidth="1"/>
    <col min="7943" max="7943" width="12.140625" style="1194" customWidth="1"/>
    <col min="7944" max="7944" width="19.7109375" style="1194" customWidth="1"/>
    <col min="7945" max="8192" width="9.140625" style="1194"/>
    <col min="8193" max="8193" width="7.7109375" style="1194" customWidth="1"/>
    <col min="8194" max="8194" width="10.5703125" style="1194" customWidth="1"/>
    <col min="8195" max="8195" width="11.140625" style="1194" bestFit="1" customWidth="1"/>
    <col min="8196" max="8196" width="22.140625" style="1194" bestFit="1" customWidth="1"/>
    <col min="8197" max="8197" width="12.28515625" style="1194" customWidth="1"/>
    <col min="8198" max="8198" width="12.5703125" style="1194" customWidth="1"/>
    <col min="8199" max="8199" width="12.140625" style="1194" customWidth="1"/>
    <col min="8200" max="8200" width="19.7109375" style="1194" customWidth="1"/>
    <col min="8201" max="8448" width="9.140625" style="1194"/>
    <col min="8449" max="8449" width="7.7109375" style="1194" customWidth="1"/>
    <col min="8450" max="8450" width="10.5703125" style="1194" customWidth="1"/>
    <col min="8451" max="8451" width="11.140625" style="1194" bestFit="1" customWidth="1"/>
    <col min="8452" max="8452" width="22.140625" style="1194" bestFit="1" customWidth="1"/>
    <col min="8453" max="8453" width="12.28515625" style="1194" customWidth="1"/>
    <col min="8454" max="8454" width="12.5703125" style="1194" customWidth="1"/>
    <col min="8455" max="8455" width="12.140625" style="1194" customWidth="1"/>
    <col min="8456" max="8456" width="19.7109375" style="1194" customWidth="1"/>
    <col min="8457" max="8704" width="9.140625" style="1194"/>
    <col min="8705" max="8705" width="7.7109375" style="1194" customWidth="1"/>
    <col min="8706" max="8706" width="10.5703125" style="1194" customWidth="1"/>
    <col min="8707" max="8707" width="11.140625" style="1194" bestFit="1" customWidth="1"/>
    <col min="8708" max="8708" width="22.140625" style="1194" bestFit="1" customWidth="1"/>
    <col min="8709" max="8709" width="12.28515625" style="1194" customWidth="1"/>
    <col min="8710" max="8710" width="12.5703125" style="1194" customWidth="1"/>
    <col min="8711" max="8711" width="12.140625" style="1194" customWidth="1"/>
    <col min="8712" max="8712" width="19.7109375" style="1194" customWidth="1"/>
    <col min="8713" max="8960" width="9.140625" style="1194"/>
    <col min="8961" max="8961" width="7.7109375" style="1194" customWidth="1"/>
    <col min="8962" max="8962" width="10.5703125" style="1194" customWidth="1"/>
    <col min="8963" max="8963" width="11.140625" style="1194" bestFit="1" customWidth="1"/>
    <col min="8964" max="8964" width="22.140625" style="1194" bestFit="1" customWidth="1"/>
    <col min="8965" max="8965" width="12.28515625" style="1194" customWidth="1"/>
    <col min="8966" max="8966" width="12.5703125" style="1194" customWidth="1"/>
    <col min="8967" max="8967" width="12.140625" style="1194" customWidth="1"/>
    <col min="8968" max="8968" width="19.7109375" style="1194" customWidth="1"/>
    <col min="8969" max="9216" width="9.140625" style="1194"/>
    <col min="9217" max="9217" width="7.7109375" style="1194" customWidth="1"/>
    <col min="9218" max="9218" width="10.5703125" style="1194" customWidth="1"/>
    <col min="9219" max="9219" width="11.140625" style="1194" bestFit="1" customWidth="1"/>
    <col min="9220" max="9220" width="22.140625" style="1194" bestFit="1" customWidth="1"/>
    <col min="9221" max="9221" width="12.28515625" style="1194" customWidth="1"/>
    <col min="9222" max="9222" width="12.5703125" style="1194" customWidth="1"/>
    <col min="9223" max="9223" width="12.140625" style="1194" customWidth="1"/>
    <col min="9224" max="9224" width="19.7109375" style="1194" customWidth="1"/>
    <col min="9225" max="9472" width="9.140625" style="1194"/>
    <col min="9473" max="9473" width="7.7109375" style="1194" customWidth="1"/>
    <col min="9474" max="9474" width="10.5703125" style="1194" customWidth="1"/>
    <col min="9475" max="9475" width="11.140625" style="1194" bestFit="1" customWidth="1"/>
    <col min="9476" max="9476" width="22.140625" style="1194" bestFit="1" customWidth="1"/>
    <col min="9477" max="9477" width="12.28515625" style="1194" customWidth="1"/>
    <col min="9478" max="9478" width="12.5703125" style="1194" customWidth="1"/>
    <col min="9479" max="9479" width="12.140625" style="1194" customWidth="1"/>
    <col min="9480" max="9480" width="19.7109375" style="1194" customWidth="1"/>
    <col min="9481" max="9728" width="9.140625" style="1194"/>
    <col min="9729" max="9729" width="7.7109375" style="1194" customWidth="1"/>
    <col min="9730" max="9730" width="10.5703125" style="1194" customWidth="1"/>
    <col min="9731" max="9731" width="11.140625" style="1194" bestFit="1" customWidth="1"/>
    <col min="9732" max="9732" width="22.140625" style="1194" bestFit="1" customWidth="1"/>
    <col min="9733" max="9733" width="12.28515625" style="1194" customWidth="1"/>
    <col min="9734" max="9734" width="12.5703125" style="1194" customWidth="1"/>
    <col min="9735" max="9735" width="12.140625" style="1194" customWidth="1"/>
    <col min="9736" max="9736" width="19.7109375" style="1194" customWidth="1"/>
    <col min="9737" max="9984" width="9.140625" style="1194"/>
    <col min="9985" max="9985" width="7.7109375" style="1194" customWidth="1"/>
    <col min="9986" max="9986" width="10.5703125" style="1194" customWidth="1"/>
    <col min="9987" max="9987" width="11.140625" style="1194" bestFit="1" customWidth="1"/>
    <col min="9988" max="9988" width="22.140625" style="1194" bestFit="1" customWidth="1"/>
    <col min="9989" max="9989" width="12.28515625" style="1194" customWidth="1"/>
    <col min="9990" max="9990" width="12.5703125" style="1194" customWidth="1"/>
    <col min="9991" max="9991" width="12.140625" style="1194" customWidth="1"/>
    <col min="9992" max="9992" width="19.7109375" style="1194" customWidth="1"/>
    <col min="9993" max="10240" width="9.140625" style="1194"/>
    <col min="10241" max="10241" width="7.7109375" style="1194" customWidth="1"/>
    <col min="10242" max="10242" width="10.5703125" style="1194" customWidth="1"/>
    <col min="10243" max="10243" width="11.140625" style="1194" bestFit="1" customWidth="1"/>
    <col min="10244" max="10244" width="22.140625" style="1194" bestFit="1" customWidth="1"/>
    <col min="10245" max="10245" width="12.28515625" style="1194" customWidth="1"/>
    <col min="10246" max="10246" width="12.5703125" style="1194" customWidth="1"/>
    <col min="10247" max="10247" width="12.140625" style="1194" customWidth="1"/>
    <col min="10248" max="10248" width="19.7109375" style="1194" customWidth="1"/>
    <col min="10249" max="10496" width="9.140625" style="1194"/>
    <col min="10497" max="10497" width="7.7109375" style="1194" customWidth="1"/>
    <col min="10498" max="10498" width="10.5703125" style="1194" customWidth="1"/>
    <col min="10499" max="10499" width="11.140625" style="1194" bestFit="1" customWidth="1"/>
    <col min="10500" max="10500" width="22.140625" style="1194" bestFit="1" customWidth="1"/>
    <col min="10501" max="10501" width="12.28515625" style="1194" customWidth="1"/>
    <col min="10502" max="10502" width="12.5703125" style="1194" customWidth="1"/>
    <col min="10503" max="10503" width="12.140625" style="1194" customWidth="1"/>
    <col min="10504" max="10504" width="19.7109375" style="1194" customWidth="1"/>
    <col min="10505" max="10752" width="9.140625" style="1194"/>
    <col min="10753" max="10753" width="7.7109375" style="1194" customWidth="1"/>
    <col min="10754" max="10754" width="10.5703125" style="1194" customWidth="1"/>
    <col min="10755" max="10755" width="11.140625" style="1194" bestFit="1" customWidth="1"/>
    <col min="10756" max="10756" width="22.140625" style="1194" bestFit="1" customWidth="1"/>
    <col min="10757" max="10757" width="12.28515625" style="1194" customWidth="1"/>
    <col min="10758" max="10758" width="12.5703125" style="1194" customWidth="1"/>
    <col min="10759" max="10759" width="12.140625" style="1194" customWidth="1"/>
    <col min="10760" max="10760" width="19.7109375" style="1194" customWidth="1"/>
    <col min="10761" max="11008" width="9.140625" style="1194"/>
    <col min="11009" max="11009" width="7.7109375" style="1194" customWidth="1"/>
    <col min="11010" max="11010" width="10.5703125" style="1194" customWidth="1"/>
    <col min="11011" max="11011" width="11.140625" style="1194" bestFit="1" customWidth="1"/>
    <col min="11012" max="11012" width="22.140625" style="1194" bestFit="1" customWidth="1"/>
    <col min="11013" max="11013" width="12.28515625" style="1194" customWidth="1"/>
    <col min="11014" max="11014" width="12.5703125" style="1194" customWidth="1"/>
    <col min="11015" max="11015" width="12.140625" style="1194" customWidth="1"/>
    <col min="11016" max="11016" width="19.7109375" style="1194" customWidth="1"/>
    <col min="11017" max="11264" width="9.140625" style="1194"/>
    <col min="11265" max="11265" width="7.7109375" style="1194" customWidth="1"/>
    <col min="11266" max="11266" width="10.5703125" style="1194" customWidth="1"/>
    <col min="11267" max="11267" width="11.140625" style="1194" bestFit="1" customWidth="1"/>
    <col min="11268" max="11268" width="22.140625" style="1194" bestFit="1" customWidth="1"/>
    <col min="11269" max="11269" width="12.28515625" style="1194" customWidth="1"/>
    <col min="11270" max="11270" width="12.5703125" style="1194" customWidth="1"/>
    <col min="11271" max="11271" width="12.140625" style="1194" customWidth="1"/>
    <col min="11272" max="11272" width="19.7109375" style="1194" customWidth="1"/>
    <col min="11273" max="11520" width="9.140625" style="1194"/>
    <col min="11521" max="11521" width="7.7109375" style="1194" customWidth="1"/>
    <col min="11522" max="11522" width="10.5703125" style="1194" customWidth="1"/>
    <col min="11523" max="11523" width="11.140625" style="1194" bestFit="1" customWidth="1"/>
    <col min="11524" max="11524" width="22.140625" style="1194" bestFit="1" customWidth="1"/>
    <col min="11525" max="11525" width="12.28515625" style="1194" customWidth="1"/>
    <col min="11526" max="11526" width="12.5703125" style="1194" customWidth="1"/>
    <col min="11527" max="11527" width="12.140625" style="1194" customWidth="1"/>
    <col min="11528" max="11528" width="19.7109375" style="1194" customWidth="1"/>
    <col min="11529" max="11776" width="9.140625" style="1194"/>
    <col min="11777" max="11777" width="7.7109375" style="1194" customWidth="1"/>
    <col min="11778" max="11778" width="10.5703125" style="1194" customWidth="1"/>
    <col min="11779" max="11779" width="11.140625" style="1194" bestFit="1" customWidth="1"/>
    <col min="11780" max="11780" width="22.140625" style="1194" bestFit="1" customWidth="1"/>
    <col min="11781" max="11781" width="12.28515625" style="1194" customWidth="1"/>
    <col min="11782" max="11782" width="12.5703125" style="1194" customWidth="1"/>
    <col min="11783" max="11783" width="12.140625" style="1194" customWidth="1"/>
    <col min="11784" max="11784" width="19.7109375" style="1194" customWidth="1"/>
    <col min="11785" max="12032" width="9.140625" style="1194"/>
    <col min="12033" max="12033" width="7.7109375" style="1194" customWidth="1"/>
    <col min="12034" max="12034" width="10.5703125" style="1194" customWidth="1"/>
    <col min="12035" max="12035" width="11.140625" style="1194" bestFit="1" customWidth="1"/>
    <col min="12036" max="12036" width="22.140625" style="1194" bestFit="1" customWidth="1"/>
    <col min="12037" max="12037" width="12.28515625" style="1194" customWidth="1"/>
    <col min="12038" max="12038" width="12.5703125" style="1194" customWidth="1"/>
    <col min="12039" max="12039" width="12.140625" style="1194" customWidth="1"/>
    <col min="12040" max="12040" width="19.7109375" style="1194" customWidth="1"/>
    <col min="12041" max="12288" width="9.140625" style="1194"/>
    <col min="12289" max="12289" width="7.7109375" style="1194" customWidth="1"/>
    <col min="12290" max="12290" width="10.5703125" style="1194" customWidth="1"/>
    <col min="12291" max="12291" width="11.140625" style="1194" bestFit="1" customWidth="1"/>
    <col min="12292" max="12292" width="22.140625" style="1194" bestFit="1" customWidth="1"/>
    <col min="12293" max="12293" width="12.28515625" style="1194" customWidth="1"/>
    <col min="12294" max="12294" width="12.5703125" style="1194" customWidth="1"/>
    <col min="12295" max="12295" width="12.140625" style="1194" customWidth="1"/>
    <col min="12296" max="12296" width="19.7109375" style="1194" customWidth="1"/>
    <col min="12297" max="12544" width="9.140625" style="1194"/>
    <col min="12545" max="12545" width="7.7109375" style="1194" customWidth="1"/>
    <col min="12546" max="12546" width="10.5703125" style="1194" customWidth="1"/>
    <col min="12547" max="12547" width="11.140625" style="1194" bestFit="1" customWidth="1"/>
    <col min="12548" max="12548" width="22.140625" style="1194" bestFit="1" customWidth="1"/>
    <col min="12549" max="12549" width="12.28515625" style="1194" customWidth="1"/>
    <col min="12550" max="12550" width="12.5703125" style="1194" customWidth="1"/>
    <col min="12551" max="12551" width="12.140625" style="1194" customWidth="1"/>
    <col min="12552" max="12552" width="19.7109375" style="1194" customWidth="1"/>
    <col min="12553" max="12800" width="9.140625" style="1194"/>
    <col min="12801" max="12801" width="7.7109375" style="1194" customWidth="1"/>
    <col min="12802" max="12802" width="10.5703125" style="1194" customWidth="1"/>
    <col min="12803" max="12803" width="11.140625" style="1194" bestFit="1" customWidth="1"/>
    <col min="12804" max="12804" width="22.140625" style="1194" bestFit="1" customWidth="1"/>
    <col min="12805" max="12805" width="12.28515625" style="1194" customWidth="1"/>
    <col min="12806" max="12806" width="12.5703125" style="1194" customWidth="1"/>
    <col min="12807" max="12807" width="12.140625" style="1194" customWidth="1"/>
    <col min="12808" max="12808" width="19.7109375" style="1194" customWidth="1"/>
    <col min="12809" max="13056" width="9.140625" style="1194"/>
    <col min="13057" max="13057" width="7.7109375" style="1194" customWidth="1"/>
    <col min="13058" max="13058" width="10.5703125" style="1194" customWidth="1"/>
    <col min="13059" max="13059" width="11.140625" style="1194" bestFit="1" customWidth="1"/>
    <col min="13060" max="13060" width="22.140625" style="1194" bestFit="1" customWidth="1"/>
    <col min="13061" max="13061" width="12.28515625" style="1194" customWidth="1"/>
    <col min="13062" max="13062" width="12.5703125" style="1194" customWidth="1"/>
    <col min="13063" max="13063" width="12.140625" style="1194" customWidth="1"/>
    <col min="13064" max="13064" width="19.7109375" style="1194" customWidth="1"/>
    <col min="13065" max="13312" width="9.140625" style="1194"/>
    <col min="13313" max="13313" width="7.7109375" style="1194" customWidth="1"/>
    <col min="13314" max="13314" width="10.5703125" style="1194" customWidth="1"/>
    <col min="13315" max="13315" width="11.140625" style="1194" bestFit="1" customWidth="1"/>
    <col min="13316" max="13316" width="22.140625" style="1194" bestFit="1" customWidth="1"/>
    <col min="13317" max="13317" width="12.28515625" style="1194" customWidth="1"/>
    <col min="13318" max="13318" width="12.5703125" style="1194" customWidth="1"/>
    <col min="13319" max="13319" width="12.140625" style="1194" customWidth="1"/>
    <col min="13320" max="13320" width="19.7109375" style="1194" customWidth="1"/>
    <col min="13321" max="13568" width="9.140625" style="1194"/>
    <col min="13569" max="13569" width="7.7109375" style="1194" customWidth="1"/>
    <col min="13570" max="13570" width="10.5703125" style="1194" customWidth="1"/>
    <col min="13571" max="13571" width="11.140625" style="1194" bestFit="1" customWidth="1"/>
    <col min="13572" max="13572" width="22.140625" style="1194" bestFit="1" customWidth="1"/>
    <col min="13573" max="13573" width="12.28515625" style="1194" customWidth="1"/>
    <col min="13574" max="13574" width="12.5703125" style="1194" customWidth="1"/>
    <col min="13575" max="13575" width="12.140625" style="1194" customWidth="1"/>
    <col min="13576" max="13576" width="19.7109375" style="1194" customWidth="1"/>
    <col min="13577" max="13824" width="9.140625" style="1194"/>
    <col min="13825" max="13825" width="7.7109375" style="1194" customWidth="1"/>
    <col min="13826" max="13826" width="10.5703125" style="1194" customWidth="1"/>
    <col min="13827" max="13827" width="11.140625" style="1194" bestFit="1" customWidth="1"/>
    <col min="13828" max="13828" width="22.140625" style="1194" bestFit="1" customWidth="1"/>
    <col min="13829" max="13829" width="12.28515625" style="1194" customWidth="1"/>
    <col min="13830" max="13830" width="12.5703125" style="1194" customWidth="1"/>
    <col min="13831" max="13831" width="12.140625" style="1194" customWidth="1"/>
    <col min="13832" max="13832" width="19.7109375" style="1194" customWidth="1"/>
    <col min="13833" max="14080" width="9.140625" style="1194"/>
    <col min="14081" max="14081" width="7.7109375" style="1194" customWidth="1"/>
    <col min="14082" max="14082" width="10.5703125" style="1194" customWidth="1"/>
    <col min="14083" max="14083" width="11.140625" style="1194" bestFit="1" customWidth="1"/>
    <col min="14084" max="14084" width="22.140625" style="1194" bestFit="1" customWidth="1"/>
    <col min="14085" max="14085" width="12.28515625" style="1194" customWidth="1"/>
    <col min="14086" max="14086" width="12.5703125" style="1194" customWidth="1"/>
    <col min="14087" max="14087" width="12.140625" style="1194" customWidth="1"/>
    <col min="14088" max="14088" width="19.7109375" style="1194" customWidth="1"/>
    <col min="14089" max="14336" width="9.140625" style="1194"/>
    <col min="14337" max="14337" width="7.7109375" style="1194" customWidth="1"/>
    <col min="14338" max="14338" width="10.5703125" style="1194" customWidth="1"/>
    <col min="14339" max="14339" width="11.140625" style="1194" bestFit="1" customWidth="1"/>
    <col min="14340" max="14340" width="22.140625" style="1194" bestFit="1" customWidth="1"/>
    <col min="14341" max="14341" width="12.28515625" style="1194" customWidth="1"/>
    <col min="14342" max="14342" width="12.5703125" style="1194" customWidth="1"/>
    <col min="14343" max="14343" width="12.140625" style="1194" customWidth="1"/>
    <col min="14344" max="14344" width="19.7109375" style="1194" customWidth="1"/>
    <col min="14345" max="14592" width="9.140625" style="1194"/>
    <col min="14593" max="14593" width="7.7109375" style="1194" customWidth="1"/>
    <col min="14594" max="14594" width="10.5703125" style="1194" customWidth="1"/>
    <col min="14595" max="14595" width="11.140625" style="1194" bestFit="1" customWidth="1"/>
    <col min="14596" max="14596" width="22.140625" style="1194" bestFit="1" customWidth="1"/>
    <col min="14597" max="14597" width="12.28515625" style="1194" customWidth="1"/>
    <col min="14598" max="14598" width="12.5703125" style="1194" customWidth="1"/>
    <col min="14599" max="14599" width="12.140625" style="1194" customWidth="1"/>
    <col min="14600" max="14600" width="19.7109375" style="1194" customWidth="1"/>
    <col min="14601" max="14848" width="9.140625" style="1194"/>
    <col min="14849" max="14849" width="7.7109375" style="1194" customWidth="1"/>
    <col min="14850" max="14850" width="10.5703125" style="1194" customWidth="1"/>
    <col min="14851" max="14851" width="11.140625" style="1194" bestFit="1" customWidth="1"/>
    <col min="14852" max="14852" width="22.140625" style="1194" bestFit="1" customWidth="1"/>
    <col min="14853" max="14853" width="12.28515625" style="1194" customWidth="1"/>
    <col min="14854" max="14854" width="12.5703125" style="1194" customWidth="1"/>
    <col min="14855" max="14855" width="12.140625" style="1194" customWidth="1"/>
    <col min="14856" max="14856" width="19.7109375" style="1194" customWidth="1"/>
    <col min="14857" max="15104" width="9.140625" style="1194"/>
    <col min="15105" max="15105" width="7.7109375" style="1194" customWidth="1"/>
    <col min="15106" max="15106" width="10.5703125" style="1194" customWidth="1"/>
    <col min="15107" max="15107" width="11.140625" style="1194" bestFit="1" customWidth="1"/>
    <col min="15108" max="15108" width="22.140625" style="1194" bestFit="1" customWidth="1"/>
    <col min="15109" max="15109" width="12.28515625" style="1194" customWidth="1"/>
    <col min="15110" max="15110" width="12.5703125" style="1194" customWidth="1"/>
    <col min="15111" max="15111" width="12.140625" style="1194" customWidth="1"/>
    <col min="15112" max="15112" width="19.7109375" style="1194" customWidth="1"/>
    <col min="15113" max="15360" width="9.140625" style="1194"/>
    <col min="15361" max="15361" width="7.7109375" style="1194" customWidth="1"/>
    <col min="15362" max="15362" width="10.5703125" style="1194" customWidth="1"/>
    <col min="15363" max="15363" width="11.140625" style="1194" bestFit="1" customWidth="1"/>
    <col min="15364" max="15364" width="22.140625" style="1194" bestFit="1" customWidth="1"/>
    <col min="15365" max="15365" width="12.28515625" style="1194" customWidth="1"/>
    <col min="15366" max="15366" width="12.5703125" style="1194" customWidth="1"/>
    <col min="15367" max="15367" width="12.140625" style="1194" customWidth="1"/>
    <col min="15368" max="15368" width="19.7109375" style="1194" customWidth="1"/>
    <col min="15369" max="15616" width="9.140625" style="1194"/>
    <col min="15617" max="15617" width="7.7109375" style="1194" customWidth="1"/>
    <col min="15618" max="15618" width="10.5703125" style="1194" customWidth="1"/>
    <col min="15619" max="15619" width="11.140625" style="1194" bestFit="1" customWidth="1"/>
    <col min="15620" max="15620" width="22.140625" style="1194" bestFit="1" customWidth="1"/>
    <col min="15621" max="15621" width="12.28515625" style="1194" customWidth="1"/>
    <col min="15622" max="15622" width="12.5703125" style="1194" customWidth="1"/>
    <col min="15623" max="15623" width="12.140625" style="1194" customWidth="1"/>
    <col min="15624" max="15624" width="19.7109375" style="1194" customWidth="1"/>
    <col min="15625" max="15872" width="9.140625" style="1194"/>
    <col min="15873" max="15873" width="7.7109375" style="1194" customWidth="1"/>
    <col min="15874" max="15874" width="10.5703125" style="1194" customWidth="1"/>
    <col min="15875" max="15875" width="11.140625" style="1194" bestFit="1" customWidth="1"/>
    <col min="15876" max="15876" width="22.140625" style="1194" bestFit="1" customWidth="1"/>
    <col min="15877" max="15877" width="12.28515625" style="1194" customWidth="1"/>
    <col min="15878" max="15878" width="12.5703125" style="1194" customWidth="1"/>
    <col min="15879" max="15879" width="12.140625" style="1194" customWidth="1"/>
    <col min="15880" max="15880" width="19.7109375" style="1194" customWidth="1"/>
    <col min="15881" max="16128" width="9.140625" style="1194"/>
    <col min="16129" max="16129" width="7.7109375" style="1194" customWidth="1"/>
    <col min="16130" max="16130" width="10.5703125" style="1194" customWidth="1"/>
    <col min="16131" max="16131" width="11.140625" style="1194" bestFit="1" customWidth="1"/>
    <col min="16132" max="16132" width="22.140625" style="1194" bestFit="1" customWidth="1"/>
    <col min="16133" max="16133" width="12.28515625" style="1194" customWidth="1"/>
    <col min="16134" max="16134" width="12.5703125" style="1194" customWidth="1"/>
    <col min="16135" max="16135" width="12.140625" style="1194" customWidth="1"/>
    <col min="16136" max="16136" width="19.7109375" style="1194" customWidth="1"/>
    <col min="16137" max="16384" width="9.140625" style="1194"/>
  </cols>
  <sheetData>
    <row r="1" spans="1:12" ht="48.75" customHeight="1">
      <c r="A1" s="1361"/>
      <c r="B1" s="1361"/>
      <c r="C1" s="1361"/>
      <c r="D1" s="1361"/>
      <c r="E1" s="1361"/>
      <c r="F1" s="1361"/>
      <c r="G1" s="1343" t="s">
        <v>1460</v>
      </c>
    </row>
    <row r="2" spans="1:12" ht="40.5" customHeight="1">
      <c r="A2" s="4832" t="s">
        <v>670</v>
      </c>
      <c r="B2" s="4832"/>
      <c r="C2" s="4832"/>
      <c r="D2" s="4832"/>
      <c r="E2" s="4832"/>
      <c r="F2" s="4832"/>
      <c r="G2" s="4832"/>
    </row>
    <row r="3" spans="1:12" ht="15">
      <c r="A3" s="1342"/>
      <c r="B3" s="1342"/>
      <c r="C3" s="1342"/>
      <c r="D3" s="1342"/>
      <c r="E3" s="1342"/>
      <c r="F3" s="1342"/>
      <c r="G3" s="1341" t="s">
        <v>1</v>
      </c>
    </row>
    <row r="4" spans="1:12" s="1360" customFormat="1" ht="20.100000000000001" customHeight="1" thickBot="1">
      <c r="A4" s="4953" t="s">
        <v>665</v>
      </c>
      <c r="B4" s="4953"/>
      <c r="C4" s="4953"/>
      <c r="D4" s="4953"/>
      <c r="E4" s="4953"/>
      <c r="F4" s="4953"/>
      <c r="G4" s="4953"/>
    </row>
    <row r="5" spans="1:12" ht="15.75" customHeight="1">
      <c r="A5" s="4973" t="s">
        <v>2</v>
      </c>
      <c r="B5" s="4975" t="s">
        <v>651</v>
      </c>
      <c r="C5" s="4975" t="s">
        <v>5</v>
      </c>
      <c r="D5" s="4958" t="s">
        <v>662</v>
      </c>
      <c r="E5" s="4956" t="s">
        <v>412</v>
      </c>
      <c r="F5" s="4956"/>
      <c r="G5" s="4977" t="s">
        <v>661</v>
      </c>
    </row>
    <row r="6" spans="1:12" ht="16.5" customHeight="1">
      <c r="A6" s="4974"/>
      <c r="B6" s="4976"/>
      <c r="C6" s="4976"/>
      <c r="D6" s="4959"/>
      <c r="E6" s="1336" t="s">
        <v>660</v>
      </c>
      <c r="F6" s="1336" t="s">
        <v>659</v>
      </c>
      <c r="G6" s="4978"/>
    </row>
    <row r="7" spans="1:12" s="1195" customFormat="1" ht="20.100000000000001" customHeight="1">
      <c r="A7" s="1335">
        <v>700</v>
      </c>
      <c r="B7" s="1334">
        <v>70005</v>
      </c>
      <c r="C7" s="1334">
        <v>6259</v>
      </c>
      <c r="D7" s="1348">
        <f t="shared" ref="D7:D21" si="0">SUM(E7:F7)</f>
        <v>74363</v>
      </c>
      <c r="E7" s="1332">
        <v>0</v>
      </c>
      <c r="F7" s="1332">
        <v>74363</v>
      </c>
      <c r="G7" s="4982" t="s">
        <v>667</v>
      </c>
    </row>
    <row r="8" spans="1:12" s="1195" customFormat="1" ht="20.100000000000001" hidden="1" customHeight="1">
      <c r="A8" s="1335">
        <v>750</v>
      </c>
      <c r="B8" s="1334">
        <v>75095</v>
      </c>
      <c r="C8" s="1334">
        <v>6259</v>
      </c>
      <c r="D8" s="1348">
        <f t="shared" si="0"/>
        <v>0</v>
      </c>
      <c r="E8" s="1332"/>
      <c r="F8" s="1332"/>
      <c r="G8" s="4985"/>
    </row>
    <row r="9" spans="1:12" s="1195" customFormat="1" ht="20.100000000000001" customHeight="1">
      <c r="A9" s="4986">
        <v>801</v>
      </c>
      <c r="B9" s="4987">
        <v>80195</v>
      </c>
      <c r="C9" s="1334">
        <v>2059</v>
      </c>
      <c r="D9" s="1348">
        <f t="shared" si="0"/>
        <v>18143</v>
      </c>
      <c r="E9" s="1332">
        <v>18143</v>
      </c>
      <c r="F9" s="1332">
        <v>0</v>
      </c>
      <c r="G9" s="4985"/>
    </row>
    <row r="10" spans="1:12" s="1195" customFormat="1" ht="20.100000000000001" hidden="1" customHeight="1">
      <c r="A10" s="4986"/>
      <c r="B10" s="4987"/>
      <c r="C10" s="1334">
        <v>2009</v>
      </c>
      <c r="D10" s="1348">
        <f t="shared" si="0"/>
        <v>0</v>
      </c>
      <c r="E10" s="1332"/>
      <c r="F10" s="1332"/>
      <c r="G10" s="4985"/>
    </row>
    <row r="11" spans="1:12" s="1195" customFormat="1" ht="20.100000000000001" hidden="1" customHeight="1">
      <c r="A11" s="4986"/>
      <c r="B11" s="4987"/>
      <c r="C11" s="1334">
        <v>6259</v>
      </c>
      <c r="D11" s="1348">
        <f t="shared" si="0"/>
        <v>0</v>
      </c>
      <c r="E11" s="1332"/>
      <c r="F11" s="1332"/>
      <c r="G11" s="4985"/>
      <c r="L11" s="1359"/>
    </row>
    <row r="12" spans="1:12" s="1195" customFormat="1" ht="20.100000000000001" customHeight="1">
      <c r="A12" s="1352">
        <v>851</v>
      </c>
      <c r="B12" s="1351">
        <v>85111</v>
      </c>
      <c r="C12" s="1334">
        <v>6209</v>
      </c>
      <c r="D12" s="1348">
        <f t="shared" si="0"/>
        <v>11191126</v>
      </c>
      <c r="E12" s="1332">
        <v>0</v>
      </c>
      <c r="F12" s="1332">
        <v>11191126</v>
      </c>
      <c r="G12" s="4985"/>
    </row>
    <row r="13" spans="1:12" s="1195" customFormat="1" ht="20.100000000000001" customHeight="1">
      <c r="A13" s="4964">
        <v>852</v>
      </c>
      <c r="B13" s="4967">
        <v>85295</v>
      </c>
      <c r="C13" s="1334">
        <v>2009</v>
      </c>
      <c r="D13" s="1332">
        <f t="shared" si="0"/>
        <v>165782</v>
      </c>
      <c r="E13" s="1332">
        <v>165782</v>
      </c>
      <c r="F13" s="1348">
        <v>0</v>
      </c>
      <c r="G13" s="4985"/>
      <c r="H13" s="1356"/>
      <c r="I13" s="1196"/>
      <c r="J13" s="1196"/>
    </row>
    <row r="14" spans="1:12" s="1195" customFormat="1" ht="20.100000000000001" customHeight="1">
      <c r="A14" s="4965"/>
      <c r="B14" s="4968"/>
      <c r="C14" s="1334">
        <v>2059</v>
      </c>
      <c r="D14" s="1332">
        <f t="shared" si="0"/>
        <v>1490664</v>
      </c>
      <c r="E14" s="1332">
        <v>1490664</v>
      </c>
      <c r="F14" s="1348">
        <v>0</v>
      </c>
      <c r="G14" s="4985"/>
      <c r="H14" s="1356"/>
      <c r="I14" s="1196"/>
      <c r="J14" s="1196"/>
    </row>
    <row r="15" spans="1:12" s="1195" customFormat="1" ht="20.100000000000001" hidden="1" customHeight="1">
      <c r="A15" s="4966"/>
      <c r="B15" s="4969"/>
      <c r="C15" s="1334">
        <v>6259</v>
      </c>
      <c r="D15" s="1332">
        <f t="shared" si="0"/>
        <v>0</v>
      </c>
      <c r="E15" s="1332"/>
      <c r="F15" s="1348"/>
      <c r="G15" s="4985"/>
      <c r="H15" s="1356"/>
      <c r="I15" s="1196"/>
      <c r="J15" s="1196"/>
    </row>
    <row r="16" spans="1:12" s="1195" customFormat="1" ht="20.100000000000001" customHeight="1">
      <c r="A16" s="4964">
        <v>853</v>
      </c>
      <c r="B16" s="4967">
        <v>85395</v>
      </c>
      <c r="C16" s="1334">
        <v>2059</v>
      </c>
      <c r="D16" s="1332">
        <f t="shared" si="0"/>
        <v>26118</v>
      </c>
      <c r="E16" s="1332">
        <v>26118</v>
      </c>
      <c r="F16" s="1348">
        <v>0</v>
      </c>
      <c r="G16" s="4985"/>
      <c r="H16" s="1356"/>
      <c r="I16" s="1196"/>
      <c r="J16" s="1196"/>
    </row>
    <row r="17" spans="1:11" s="1195" customFormat="1" ht="20.100000000000001" hidden="1" customHeight="1">
      <c r="A17" s="4966"/>
      <c r="B17" s="4969"/>
      <c r="C17" s="1334">
        <v>6259</v>
      </c>
      <c r="D17" s="1332">
        <f t="shared" si="0"/>
        <v>0</v>
      </c>
      <c r="E17" s="1332"/>
      <c r="F17" s="1348"/>
      <c r="G17" s="4983"/>
      <c r="H17" s="1356"/>
      <c r="I17" s="1196"/>
      <c r="J17" s="1196"/>
    </row>
    <row r="18" spans="1:11" s="1195" customFormat="1" ht="20.100000000000001" customHeight="1">
      <c r="A18" s="4964">
        <v>921</v>
      </c>
      <c r="B18" s="4967">
        <v>92109</v>
      </c>
      <c r="C18" s="1334">
        <v>6220</v>
      </c>
      <c r="D18" s="1332">
        <f t="shared" si="0"/>
        <v>100000</v>
      </c>
      <c r="E18" s="1358">
        <v>0</v>
      </c>
      <c r="F18" s="1357">
        <v>100000</v>
      </c>
      <c r="G18" s="4982" t="s">
        <v>669</v>
      </c>
      <c r="H18" s="1356"/>
      <c r="I18" s="1196"/>
      <c r="J18" s="1196"/>
    </row>
    <row r="19" spans="1:11" s="1195" customFormat="1" ht="20.100000000000001" customHeight="1">
      <c r="A19" s="4965"/>
      <c r="B19" s="4969"/>
      <c r="C19" s="1334">
        <v>6229</v>
      </c>
      <c r="D19" s="1332">
        <f t="shared" si="0"/>
        <v>350000</v>
      </c>
      <c r="E19" s="1358">
        <v>0</v>
      </c>
      <c r="F19" s="1357">
        <v>350000</v>
      </c>
      <c r="G19" s="4983"/>
      <c r="H19" s="1356"/>
      <c r="I19" s="1196"/>
      <c r="J19" s="1196"/>
    </row>
    <row r="20" spans="1:11" s="1195" customFormat="1" ht="20.100000000000001" customHeight="1">
      <c r="A20" s="4965"/>
      <c r="B20" s="1334">
        <v>92109</v>
      </c>
      <c r="C20" s="1334">
        <v>6259</v>
      </c>
      <c r="D20" s="1332">
        <f t="shared" si="0"/>
        <v>177600</v>
      </c>
      <c r="E20" s="1358">
        <v>0</v>
      </c>
      <c r="F20" s="1357">
        <v>177600</v>
      </c>
      <c r="G20" s="4982" t="s">
        <v>667</v>
      </c>
      <c r="H20" s="1356"/>
      <c r="I20" s="1196"/>
      <c r="J20" s="1196"/>
    </row>
    <row r="21" spans="1:11" s="1195" customFormat="1" ht="20.100000000000001" customHeight="1">
      <c r="A21" s="4966"/>
      <c r="B21" s="1334">
        <v>92195</v>
      </c>
      <c r="C21" s="1334">
        <v>6259</v>
      </c>
      <c r="D21" s="1332">
        <f t="shared" si="0"/>
        <v>883763</v>
      </c>
      <c r="E21" s="1358">
        <v>0</v>
      </c>
      <c r="F21" s="1357">
        <v>883763</v>
      </c>
      <c r="G21" s="4983"/>
      <c r="H21" s="1356"/>
      <c r="I21" s="1196"/>
      <c r="J21" s="1196"/>
    </row>
    <row r="22" spans="1:11" ht="20.100000000000001" customHeight="1" thickBot="1">
      <c r="A22" s="4979" t="s">
        <v>655</v>
      </c>
      <c r="B22" s="4980"/>
      <c r="C22" s="4981"/>
      <c r="D22" s="1347">
        <f>SUM(D7:D21)</f>
        <v>14477559</v>
      </c>
      <c r="E22" s="1347">
        <f>SUM(E7:E21)</f>
        <v>1700707</v>
      </c>
      <c r="F22" s="1347">
        <f>SUM(F7:F21)</f>
        <v>12776852</v>
      </c>
      <c r="G22" s="1329"/>
      <c r="H22" s="1355"/>
      <c r="I22" s="1214"/>
      <c r="J22" s="1214"/>
    </row>
    <row r="23" spans="1:11">
      <c r="A23" s="4984"/>
      <c r="B23" s="4984"/>
      <c r="C23" s="4984"/>
      <c r="D23" s="4984"/>
      <c r="E23" s="4984"/>
      <c r="F23" s="4984"/>
      <c r="G23" s="4984"/>
      <c r="H23" s="1355"/>
      <c r="I23" s="1214"/>
      <c r="J23" s="1214"/>
    </row>
    <row r="24" spans="1:11" ht="18" customHeight="1" thickBot="1">
      <c r="A24" s="4953" t="s">
        <v>663</v>
      </c>
      <c r="B24" s="4953"/>
      <c r="C24" s="4953"/>
      <c r="D24" s="4953"/>
      <c r="E24" s="4953"/>
      <c r="F24" s="4953"/>
      <c r="G24" s="4953"/>
      <c r="H24" s="1355"/>
      <c r="I24" s="1214"/>
      <c r="J24" s="1214"/>
      <c r="K24" s="1223"/>
    </row>
    <row r="25" spans="1:11" ht="20.100000000000001" customHeight="1">
      <c r="A25" s="4973" t="s">
        <v>2</v>
      </c>
      <c r="B25" s="4975" t="s">
        <v>651</v>
      </c>
      <c r="C25" s="4975" t="s">
        <v>5</v>
      </c>
      <c r="D25" s="4958" t="s">
        <v>662</v>
      </c>
      <c r="E25" s="4956" t="s">
        <v>412</v>
      </c>
      <c r="F25" s="4956"/>
      <c r="G25" s="4977" t="s">
        <v>661</v>
      </c>
      <c r="H25" s="1355"/>
      <c r="I25" s="1214"/>
      <c r="J25" s="1214"/>
    </row>
    <row r="26" spans="1:11" ht="20.100000000000001" customHeight="1">
      <c r="A26" s="4974"/>
      <c r="B26" s="4976"/>
      <c r="C26" s="4976"/>
      <c r="D26" s="4959"/>
      <c r="E26" s="1336" t="s">
        <v>660</v>
      </c>
      <c r="F26" s="1336" t="s">
        <v>659</v>
      </c>
      <c r="G26" s="4978"/>
      <c r="H26" s="1214"/>
      <c r="I26" s="1214"/>
      <c r="J26" s="1214"/>
    </row>
    <row r="27" spans="1:11" ht="25.5">
      <c r="A27" s="4964">
        <v>150</v>
      </c>
      <c r="B27" s="4967">
        <v>15011</v>
      </c>
      <c r="C27" s="1334">
        <v>2009</v>
      </c>
      <c r="D27" s="1332">
        <f>SUM(E27:F27)</f>
        <v>107641</v>
      </c>
      <c r="E27" s="1348">
        <v>107641</v>
      </c>
      <c r="F27" s="1354">
        <v>0</v>
      </c>
      <c r="G27" s="1331" t="s">
        <v>667</v>
      </c>
      <c r="H27" s="1214"/>
      <c r="I27" s="1214"/>
      <c r="J27" s="1214"/>
    </row>
    <row r="28" spans="1:11" ht="25.5">
      <c r="A28" s="4965"/>
      <c r="B28" s="4968"/>
      <c r="C28" s="1350">
        <v>2007</v>
      </c>
      <c r="D28" s="1332">
        <f>SUM(E28:F28)</f>
        <v>4080466</v>
      </c>
      <c r="E28" s="1348">
        <v>4080466</v>
      </c>
      <c r="F28" s="1354">
        <v>0</v>
      </c>
      <c r="G28" s="1353" t="s">
        <v>668</v>
      </c>
      <c r="H28" s="1214"/>
      <c r="I28" s="1214"/>
      <c r="J28" s="1214"/>
    </row>
    <row r="29" spans="1:11" ht="20.100000000000001" customHeight="1">
      <c r="A29" s="1352">
        <v>801</v>
      </c>
      <c r="B29" s="1351">
        <v>80195</v>
      </c>
      <c r="C29" s="1350">
        <v>2009</v>
      </c>
      <c r="D29" s="1349">
        <f>SUM(E29:F29)</f>
        <v>611361</v>
      </c>
      <c r="E29" s="1332">
        <v>611361</v>
      </c>
      <c r="F29" s="1348">
        <v>0</v>
      </c>
      <c r="G29" s="4970" t="s">
        <v>667</v>
      </c>
      <c r="H29" s="1214"/>
      <c r="I29" s="1214"/>
      <c r="J29" s="1214"/>
    </row>
    <row r="30" spans="1:11" ht="20.100000000000001" customHeight="1">
      <c r="A30" s="1352">
        <v>852</v>
      </c>
      <c r="B30" s="1351">
        <v>85295</v>
      </c>
      <c r="C30" s="1350">
        <v>2009</v>
      </c>
      <c r="D30" s="1349">
        <f>SUM(E30:F30)</f>
        <v>4545612</v>
      </c>
      <c r="E30" s="1332">
        <v>4545612</v>
      </c>
      <c r="F30" s="1348">
        <v>0</v>
      </c>
      <c r="G30" s="4972"/>
      <c r="H30" s="1214"/>
      <c r="I30" s="1214"/>
      <c r="J30" s="1214"/>
    </row>
    <row r="31" spans="1:11" ht="20.100000000000001" customHeight="1">
      <c r="A31" s="1335">
        <v>853</v>
      </c>
      <c r="B31" s="1334">
        <v>85395</v>
      </c>
      <c r="C31" s="1334">
        <v>2009</v>
      </c>
      <c r="D31" s="1332">
        <f>SUM(E31:F31)</f>
        <v>2417975</v>
      </c>
      <c r="E31" s="1332">
        <v>2417975</v>
      </c>
      <c r="F31" s="1348">
        <v>0</v>
      </c>
      <c r="G31" s="4971"/>
      <c r="H31" s="1214"/>
      <c r="I31" s="1214"/>
      <c r="J31" s="1214"/>
    </row>
    <row r="32" spans="1:11" s="1326" customFormat="1" ht="20.100000000000001" customHeight="1" thickBot="1">
      <c r="A32" s="4979" t="s">
        <v>655</v>
      </c>
      <c r="B32" s="4980"/>
      <c r="C32" s="4981"/>
      <c r="D32" s="1347">
        <f>SUM(D27:D31)</f>
        <v>11763055</v>
      </c>
      <c r="E32" s="1347">
        <f>SUM(E27:E31)</f>
        <v>11763055</v>
      </c>
      <c r="F32" s="1347">
        <f>SUM(F27:F31)</f>
        <v>0</v>
      </c>
      <c r="G32" s="1329"/>
    </row>
    <row r="33" spans="2:6">
      <c r="B33" s="1327"/>
      <c r="C33" s="1346"/>
      <c r="D33" s="1196"/>
      <c r="E33" s="1196"/>
      <c r="F33" s="1196"/>
    </row>
    <row r="34" spans="2:6">
      <c r="C34" s="1345"/>
      <c r="D34" s="1196"/>
      <c r="E34" s="1196"/>
      <c r="F34" s="1196"/>
    </row>
    <row r="35" spans="2:6">
      <c r="C35" s="1196"/>
      <c r="D35" s="1196"/>
      <c r="E35" s="1196"/>
      <c r="F35" s="1196"/>
    </row>
    <row r="36" spans="2:6">
      <c r="C36" s="1196"/>
      <c r="D36" s="1196"/>
      <c r="E36" s="1196"/>
      <c r="F36" s="1196"/>
    </row>
    <row r="37" spans="2:6">
      <c r="C37" s="1196"/>
    </row>
  </sheetData>
  <sheetProtection algorithmName="SHA-512" hashValue="kEnx8sfRZMCTZUwhjrXQTUtBBirbr5r1xaX5ZdFKgEWs31ZgXtvjJo5joTZ0YdWOhOlKvDlaNmtvyKCi+qrcSw==" saltValue="m/pWfR7GDGPpvVaoR148Jg==" spinCount="100000" sheet="1" objects="1" scenarios="1"/>
  <mergeCells count="32">
    <mergeCell ref="G20:G21"/>
    <mergeCell ref="G7:G17"/>
    <mergeCell ref="A16:A17"/>
    <mergeCell ref="B16:B17"/>
    <mergeCell ref="A9:A11"/>
    <mergeCell ref="B9:B11"/>
    <mergeCell ref="A13:A15"/>
    <mergeCell ref="B13:B15"/>
    <mergeCell ref="A32:C32"/>
    <mergeCell ref="A27:A28"/>
    <mergeCell ref="B27:B28"/>
    <mergeCell ref="B18:B19"/>
    <mergeCell ref="G29:G31"/>
    <mergeCell ref="A24:G24"/>
    <mergeCell ref="A25:A26"/>
    <mergeCell ref="B25:B26"/>
    <mergeCell ref="C25:C26"/>
    <mergeCell ref="D25:D26"/>
    <mergeCell ref="E25:F25"/>
    <mergeCell ref="G25:G26"/>
    <mergeCell ref="G18:G19"/>
    <mergeCell ref="A18:A21"/>
    <mergeCell ref="A22:C22"/>
    <mergeCell ref="A23:G23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r:id="rId1"/>
  <headerFooter alignWithMargins="0"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A97E-04A9-45A5-93BA-A96DC4428FE2}">
  <sheetPr>
    <tabColor rgb="FF92D050"/>
  </sheetPr>
  <dimension ref="A1:J17"/>
  <sheetViews>
    <sheetView view="pageBreakPreview" zoomScaleSheetLayoutView="100" workbookViewId="0">
      <selection activeCell="R6" sqref="R6"/>
    </sheetView>
  </sheetViews>
  <sheetFormatPr defaultRowHeight="12.75"/>
  <cols>
    <col min="1" max="6" width="12.7109375" style="1195" customWidth="1"/>
    <col min="7" max="7" width="60.7109375" style="1195" customWidth="1"/>
    <col min="8" max="8" width="10.140625" style="1194" bestFit="1" customWidth="1"/>
    <col min="9" max="9" width="10.7109375" style="1194" bestFit="1" customWidth="1"/>
    <col min="10" max="256" width="9.140625" style="1194"/>
    <col min="257" max="257" width="7.7109375" style="1194" customWidth="1"/>
    <col min="258" max="258" width="10.5703125" style="1194" customWidth="1"/>
    <col min="259" max="259" width="11.140625" style="1194" bestFit="1" customWidth="1"/>
    <col min="260" max="260" width="22.140625" style="1194" bestFit="1" customWidth="1"/>
    <col min="261" max="261" width="12.28515625" style="1194" customWidth="1"/>
    <col min="262" max="262" width="12.5703125" style="1194" customWidth="1"/>
    <col min="263" max="263" width="12.140625" style="1194" customWidth="1"/>
    <col min="264" max="264" width="19.7109375" style="1194" customWidth="1"/>
    <col min="265" max="512" width="9.140625" style="1194"/>
    <col min="513" max="513" width="7.7109375" style="1194" customWidth="1"/>
    <col min="514" max="514" width="10.5703125" style="1194" customWidth="1"/>
    <col min="515" max="515" width="11.140625" style="1194" bestFit="1" customWidth="1"/>
    <col min="516" max="516" width="22.140625" style="1194" bestFit="1" customWidth="1"/>
    <col min="517" max="517" width="12.28515625" style="1194" customWidth="1"/>
    <col min="518" max="518" width="12.5703125" style="1194" customWidth="1"/>
    <col min="519" max="519" width="12.140625" style="1194" customWidth="1"/>
    <col min="520" max="520" width="19.7109375" style="1194" customWidth="1"/>
    <col min="521" max="768" width="9.140625" style="1194"/>
    <col min="769" max="769" width="7.7109375" style="1194" customWidth="1"/>
    <col min="770" max="770" width="10.5703125" style="1194" customWidth="1"/>
    <col min="771" max="771" width="11.140625" style="1194" bestFit="1" customWidth="1"/>
    <col min="772" max="772" width="22.140625" style="1194" bestFit="1" customWidth="1"/>
    <col min="773" max="773" width="12.28515625" style="1194" customWidth="1"/>
    <col min="774" max="774" width="12.5703125" style="1194" customWidth="1"/>
    <col min="775" max="775" width="12.140625" style="1194" customWidth="1"/>
    <col min="776" max="776" width="19.7109375" style="1194" customWidth="1"/>
    <col min="777" max="1024" width="9.140625" style="1194"/>
    <col min="1025" max="1025" width="7.7109375" style="1194" customWidth="1"/>
    <col min="1026" max="1026" width="10.5703125" style="1194" customWidth="1"/>
    <col min="1027" max="1027" width="11.140625" style="1194" bestFit="1" customWidth="1"/>
    <col min="1028" max="1028" width="22.140625" style="1194" bestFit="1" customWidth="1"/>
    <col min="1029" max="1029" width="12.28515625" style="1194" customWidth="1"/>
    <col min="1030" max="1030" width="12.5703125" style="1194" customWidth="1"/>
    <col min="1031" max="1031" width="12.140625" style="1194" customWidth="1"/>
    <col min="1032" max="1032" width="19.7109375" style="1194" customWidth="1"/>
    <col min="1033" max="1280" width="9.140625" style="1194"/>
    <col min="1281" max="1281" width="7.7109375" style="1194" customWidth="1"/>
    <col min="1282" max="1282" width="10.5703125" style="1194" customWidth="1"/>
    <col min="1283" max="1283" width="11.140625" style="1194" bestFit="1" customWidth="1"/>
    <col min="1284" max="1284" width="22.140625" style="1194" bestFit="1" customWidth="1"/>
    <col min="1285" max="1285" width="12.28515625" style="1194" customWidth="1"/>
    <col min="1286" max="1286" width="12.5703125" style="1194" customWidth="1"/>
    <col min="1287" max="1287" width="12.140625" style="1194" customWidth="1"/>
    <col min="1288" max="1288" width="19.7109375" style="1194" customWidth="1"/>
    <col min="1289" max="1536" width="9.140625" style="1194"/>
    <col min="1537" max="1537" width="7.7109375" style="1194" customWidth="1"/>
    <col min="1538" max="1538" width="10.5703125" style="1194" customWidth="1"/>
    <col min="1539" max="1539" width="11.140625" style="1194" bestFit="1" customWidth="1"/>
    <col min="1540" max="1540" width="22.140625" style="1194" bestFit="1" customWidth="1"/>
    <col min="1541" max="1541" width="12.28515625" style="1194" customWidth="1"/>
    <col min="1542" max="1542" width="12.5703125" style="1194" customWidth="1"/>
    <col min="1543" max="1543" width="12.140625" style="1194" customWidth="1"/>
    <col min="1544" max="1544" width="19.7109375" style="1194" customWidth="1"/>
    <col min="1545" max="1792" width="9.140625" style="1194"/>
    <col min="1793" max="1793" width="7.7109375" style="1194" customWidth="1"/>
    <col min="1794" max="1794" width="10.5703125" style="1194" customWidth="1"/>
    <col min="1795" max="1795" width="11.140625" style="1194" bestFit="1" customWidth="1"/>
    <col min="1796" max="1796" width="22.140625" style="1194" bestFit="1" customWidth="1"/>
    <col min="1797" max="1797" width="12.28515625" style="1194" customWidth="1"/>
    <col min="1798" max="1798" width="12.5703125" style="1194" customWidth="1"/>
    <col min="1799" max="1799" width="12.140625" style="1194" customWidth="1"/>
    <col min="1800" max="1800" width="19.7109375" style="1194" customWidth="1"/>
    <col min="1801" max="2048" width="9.140625" style="1194"/>
    <col min="2049" max="2049" width="7.7109375" style="1194" customWidth="1"/>
    <col min="2050" max="2050" width="10.5703125" style="1194" customWidth="1"/>
    <col min="2051" max="2051" width="11.140625" style="1194" bestFit="1" customWidth="1"/>
    <col min="2052" max="2052" width="22.140625" style="1194" bestFit="1" customWidth="1"/>
    <col min="2053" max="2053" width="12.28515625" style="1194" customWidth="1"/>
    <col min="2054" max="2054" width="12.5703125" style="1194" customWidth="1"/>
    <col min="2055" max="2055" width="12.140625" style="1194" customWidth="1"/>
    <col min="2056" max="2056" width="19.7109375" style="1194" customWidth="1"/>
    <col min="2057" max="2304" width="9.140625" style="1194"/>
    <col min="2305" max="2305" width="7.7109375" style="1194" customWidth="1"/>
    <col min="2306" max="2306" width="10.5703125" style="1194" customWidth="1"/>
    <col min="2307" max="2307" width="11.140625" style="1194" bestFit="1" customWidth="1"/>
    <col min="2308" max="2308" width="22.140625" style="1194" bestFit="1" customWidth="1"/>
    <col min="2309" max="2309" width="12.28515625" style="1194" customWidth="1"/>
    <col min="2310" max="2310" width="12.5703125" style="1194" customWidth="1"/>
    <col min="2311" max="2311" width="12.140625" style="1194" customWidth="1"/>
    <col min="2312" max="2312" width="19.7109375" style="1194" customWidth="1"/>
    <col min="2313" max="2560" width="9.140625" style="1194"/>
    <col min="2561" max="2561" width="7.7109375" style="1194" customWidth="1"/>
    <col min="2562" max="2562" width="10.5703125" style="1194" customWidth="1"/>
    <col min="2563" max="2563" width="11.140625" style="1194" bestFit="1" customWidth="1"/>
    <col min="2564" max="2564" width="22.140625" style="1194" bestFit="1" customWidth="1"/>
    <col min="2565" max="2565" width="12.28515625" style="1194" customWidth="1"/>
    <col min="2566" max="2566" width="12.5703125" style="1194" customWidth="1"/>
    <col min="2567" max="2567" width="12.140625" style="1194" customWidth="1"/>
    <col min="2568" max="2568" width="19.7109375" style="1194" customWidth="1"/>
    <col min="2569" max="2816" width="9.140625" style="1194"/>
    <col min="2817" max="2817" width="7.7109375" style="1194" customWidth="1"/>
    <col min="2818" max="2818" width="10.5703125" style="1194" customWidth="1"/>
    <col min="2819" max="2819" width="11.140625" style="1194" bestFit="1" customWidth="1"/>
    <col min="2820" max="2820" width="22.140625" style="1194" bestFit="1" customWidth="1"/>
    <col min="2821" max="2821" width="12.28515625" style="1194" customWidth="1"/>
    <col min="2822" max="2822" width="12.5703125" style="1194" customWidth="1"/>
    <col min="2823" max="2823" width="12.140625" style="1194" customWidth="1"/>
    <col min="2824" max="2824" width="19.7109375" style="1194" customWidth="1"/>
    <col min="2825" max="3072" width="9.140625" style="1194"/>
    <col min="3073" max="3073" width="7.7109375" style="1194" customWidth="1"/>
    <col min="3074" max="3074" width="10.5703125" style="1194" customWidth="1"/>
    <col min="3075" max="3075" width="11.140625" style="1194" bestFit="1" customWidth="1"/>
    <col min="3076" max="3076" width="22.140625" style="1194" bestFit="1" customWidth="1"/>
    <col min="3077" max="3077" width="12.28515625" style="1194" customWidth="1"/>
    <col min="3078" max="3078" width="12.5703125" style="1194" customWidth="1"/>
    <col min="3079" max="3079" width="12.140625" style="1194" customWidth="1"/>
    <col min="3080" max="3080" width="19.7109375" style="1194" customWidth="1"/>
    <col min="3081" max="3328" width="9.140625" style="1194"/>
    <col min="3329" max="3329" width="7.7109375" style="1194" customWidth="1"/>
    <col min="3330" max="3330" width="10.5703125" style="1194" customWidth="1"/>
    <col min="3331" max="3331" width="11.140625" style="1194" bestFit="1" customWidth="1"/>
    <col min="3332" max="3332" width="22.140625" style="1194" bestFit="1" customWidth="1"/>
    <col min="3333" max="3333" width="12.28515625" style="1194" customWidth="1"/>
    <col min="3334" max="3334" width="12.5703125" style="1194" customWidth="1"/>
    <col min="3335" max="3335" width="12.140625" style="1194" customWidth="1"/>
    <col min="3336" max="3336" width="19.7109375" style="1194" customWidth="1"/>
    <col min="3337" max="3584" width="9.140625" style="1194"/>
    <col min="3585" max="3585" width="7.7109375" style="1194" customWidth="1"/>
    <col min="3586" max="3586" width="10.5703125" style="1194" customWidth="1"/>
    <col min="3587" max="3587" width="11.140625" style="1194" bestFit="1" customWidth="1"/>
    <col min="3588" max="3588" width="22.140625" style="1194" bestFit="1" customWidth="1"/>
    <col min="3589" max="3589" width="12.28515625" style="1194" customWidth="1"/>
    <col min="3590" max="3590" width="12.5703125" style="1194" customWidth="1"/>
    <col min="3591" max="3591" width="12.140625" style="1194" customWidth="1"/>
    <col min="3592" max="3592" width="19.7109375" style="1194" customWidth="1"/>
    <col min="3593" max="3840" width="9.140625" style="1194"/>
    <col min="3841" max="3841" width="7.7109375" style="1194" customWidth="1"/>
    <col min="3842" max="3842" width="10.5703125" style="1194" customWidth="1"/>
    <col min="3843" max="3843" width="11.140625" style="1194" bestFit="1" customWidth="1"/>
    <col min="3844" max="3844" width="22.140625" style="1194" bestFit="1" customWidth="1"/>
    <col min="3845" max="3845" width="12.28515625" style="1194" customWidth="1"/>
    <col min="3846" max="3846" width="12.5703125" style="1194" customWidth="1"/>
    <col min="3847" max="3847" width="12.140625" style="1194" customWidth="1"/>
    <col min="3848" max="3848" width="19.7109375" style="1194" customWidth="1"/>
    <col min="3849" max="4096" width="9.140625" style="1194"/>
    <col min="4097" max="4097" width="7.7109375" style="1194" customWidth="1"/>
    <col min="4098" max="4098" width="10.5703125" style="1194" customWidth="1"/>
    <col min="4099" max="4099" width="11.140625" style="1194" bestFit="1" customWidth="1"/>
    <col min="4100" max="4100" width="22.140625" style="1194" bestFit="1" customWidth="1"/>
    <col min="4101" max="4101" width="12.28515625" style="1194" customWidth="1"/>
    <col min="4102" max="4102" width="12.5703125" style="1194" customWidth="1"/>
    <col min="4103" max="4103" width="12.140625" style="1194" customWidth="1"/>
    <col min="4104" max="4104" width="19.7109375" style="1194" customWidth="1"/>
    <col min="4105" max="4352" width="9.140625" style="1194"/>
    <col min="4353" max="4353" width="7.7109375" style="1194" customWidth="1"/>
    <col min="4354" max="4354" width="10.5703125" style="1194" customWidth="1"/>
    <col min="4355" max="4355" width="11.140625" style="1194" bestFit="1" customWidth="1"/>
    <col min="4356" max="4356" width="22.140625" style="1194" bestFit="1" customWidth="1"/>
    <col min="4357" max="4357" width="12.28515625" style="1194" customWidth="1"/>
    <col min="4358" max="4358" width="12.5703125" style="1194" customWidth="1"/>
    <col min="4359" max="4359" width="12.140625" style="1194" customWidth="1"/>
    <col min="4360" max="4360" width="19.7109375" style="1194" customWidth="1"/>
    <col min="4361" max="4608" width="9.140625" style="1194"/>
    <col min="4609" max="4609" width="7.7109375" style="1194" customWidth="1"/>
    <col min="4610" max="4610" width="10.5703125" style="1194" customWidth="1"/>
    <col min="4611" max="4611" width="11.140625" style="1194" bestFit="1" customWidth="1"/>
    <col min="4612" max="4612" width="22.140625" style="1194" bestFit="1" customWidth="1"/>
    <col min="4613" max="4613" width="12.28515625" style="1194" customWidth="1"/>
    <col min="4614" max="4614" width="12.5703125" style="1194" customWidth="1"/>
    <col min="4615" max="4615" width="12.140625" style="1194" customWidth="1"/>
    <col min="4616" max="4616" width="19.7109375" style="1194" customWidth="1"/>
    <col min="4617" max="4864" width="9.140625" style="1194"/>
    <col min="4865" max="4865" width="7.7109375" style="1194" customWidth="1"/>
    <col min="4866" max="4866" width="10.5703125" style="1194" customWidth="1"/>
    <col min="4867" max="4867" width="11.140625" style="1194" bestFit="1" customWidth="1"/>
    <col min="4868" max="4868" width="22.140625" style="1194" bestFit="1" customWidth="1"/>
    <col min="4869" max="4869" width="12.28515625" style="1194" customWidth="1"/>
    <col min="4870" max="4870" width="12.5703125" style="1194" customWidth="1"/>
    <col min="4871" max="4871" width="12.140625" style="1194" customWidth="1"/>
    <col min="4872" max="4872" width="19.7109375" style="1194" customWidth="1"/>
    <col min="4873" max="5120" width="9.140625" style="1194"/>
    <col min="5121" max="5121" width="7.7109375" style="1194" customWidth="1"/>
    <col min="5122" max="5122" width="10.5703125" style="1194" customWidth="1"/>
    <col min="5123" max="5123" width="11.140625" style="1194" bestFit="1" customWidth="1"/>
    <col min="5124" max="5124" width="22.140625" style="1194" bestFit="1" customWidth="1"/>
    <col min="5125" max="5125" width="12.28515625" style="1194" customWidth="1"/>
    <col min="5126" max="5126" width="12.5703125" style="1194" customWidth="1"/>
    <col min="5127" max="5127" width="12.140625" style="1194" customWidth="1"/>
    <col min="5128" max="5128" width="19.7109375" style="1194" customWidth="1"/>
    <col min="5129" max="5376" width="9.140625" style="1194"/>
    <col min="5377" max="5377" width="7.7109375" style="1194" customWidth="1"/>
    <col min="5378" max="5378" width="10.5703125" style="1194" customWidth="1"/>
    <col min="5379" max="5379" width="11.140625" style="1194" bestFit="1" customWidth="1"/>
    <col min="5380" max="5380" width="22.140625" style="1194" bestFit="1" customWidth="1"/>
    <col min="5381" max="5381" width="12.28515625" style="1194" customWidth="1"/>
    <col min="5382" max="5382" width="12.5703125" style="1194" customWidth="1"/>
    <col min="5383" max="5383" width="12.140625" style="1194" customWidth="1"/>
    <col min="5384" max="5384" width="19.7109375" style="1194" customWidth="1"/>
    <col min="5385" max="5632" width="9.140625" style="1194"/>
    <col min="5633" max="5633" width="7.7109375" style="1194" customWidth="1"/>
    <col min="5634" max="5634" width="10.5703125" style="1194" customWidth="1"/>
    <col min="5635" max="5635" width="11.140625" style="1194" bestFit="1" customWidth="1"/>
    <col min="5636" max="5636" width="22.140625" style="1194" bestFit="1" customWidth="1"/>
    <col min="5637" max="5637" width="12.28515625" style="1194" customWidth="1"/>
    <col min="5638" max="5638" width="12.5703125" style="1194" customWidth="1"/>
    <col min="5639" max="5639" width="12.140625" style="1194" customWidth="1"/>
    <col min="5640" max="5640" width="19.7109375" style="1194" customWidth="1"/>
    <col min="5641" max="5888" width="9.140625" style="1194"/>
    <col min="5889" max="5889" width="7.7109375" style="1194" customWidth="1"/>
    <col min="5890" max="5890" width="10.5703125" style="1194" customWidth="1"/>
    <col min="5891" max="5891" width="11.140625" style="1194" bestFit="1" customWidth="1"/>
    <col min="5892" max="5892" width="22.140625" style="1194" bestFit="1" customWidth="1"/>
    <col min="5893" max="5893" width="12.28515625" style="1194" customWidth="1"/>
    <col min="5894" max="5894" width="12.5703125" style="1194" customWidth="1"/>
    <col min="5895" max="5895" width="12.140625" style="1194" customWidth="1"/>
    <col min="5896" max="5896" width="19.7109375" style="1194" customWidth="1"/>
    <col min="5897" max="6144" width="9.140625" style="1194"/>
    <col min="6145" max="6145" width="7.7109375" style="1194" customWidth="1"/>
    <col min="6146" max="6146" width="10.5703125" style="1194" customWidth="1"/>
    <col min="6147" max="6147" width="11.140625" style="1194" bestFit="1" customWidth="1"/>
    <col min="6148" max="6148" width="22.140625" style="1194" bestFit="1" customWidth="1"/>
    <col min="6149" max="6149" width="12.28515625" style="1194" customWidth="1"/>
    <col min="6150" max="6150" width="12.5703125" style="1194" customWidth="1"/>
    <col min="6151" max="6151" width="12.140625" style="1194" customWidth="1"/>
    <col min="6152" max="6152" width="19.7109375" style="1194" customWidth="1"/>
    <col min="6153" max="6400" width="9.140625" style="1194"/>
    <col min="6401" max="6401" width="7.7109375" style="1194" customWidth="1"/>
    <col min="6402" max="6402" width="10.5703125" style="1194" customWidth="1"/>
    <col min="6403" max="6403" width="11.140625" style="1194" bestFit="1" customWidth="1"/>
    <col min="6404" max="6404" width="22.140625" style="1194" bestFit="1" customWidth="1"/>
    <col min="6405" max="6405" width="12.28515625" style="1194" customWidth="1"/>
    <col min="6406" max="6406" width="12.5703125" style="1194" customWidth="1"/>
    <col min="6407" max="6407" width="12.140625" style="1194" customWidth="1"/>
    <col min="6408" max="6408" width="19.7109375" style="1194" customWidth="1"/>
    <col min="6409" max="6656" width="9.140625" style="1194"/>
    <col min="6657" max="6657" width="7.7109375" style="1194" customWidth="1"/>
    <col min="6658" max="6658" width="10.5703125" style="1194" customWidth="1"/>
    <col min="6659" max="6659" width="11.140625" style="1194" bestFit="1" customWidth="1"/>
    <col min="6660" max="6660" width="22.140625" style="1194" bestFit="1" customWidth="1"/>
    <col min="6661" max="6661" width="12.28515625" style="1194" customWidth="1"/>
    <col min="6662" max="6662" width="12.5703125" style="1194" customWidth="1"/>
    <col min="6663" max="6663" width="12.140625" style="1194" customWidth="1"/>
    <col min="6664" max="6664" width="19.7109375" style="1194" customWidth="1"/>
    <col min="6665" max="6912" width="9.140625" style="1194"/>
    <col min="6913" max="6913" width="7.7109375" style="1194" customWidth="1"/>
    <col min="6914" max="6914" width="10.5703125" style="1194" customWidth="1"/>
    <col min="6915" max="6915" width="11.140625" style="1194" bestFit="1" customWidth="1"/>
    <col min="6916" max="6916" width="22.140625" style="1194" bestFit="1" customWidth="1"/>
    <col min="6917" max="6917" width="12.28515625" style="1194" customWidth="1"/>
    <col min="6918" max="6918" width="12.5703125" style="1194" customWidth="1"/>
    <col min="6919" max="6919" width="12.140625" style="1194" customWidth="1"/>
    <col min="6920" max="6920" width="19.7109375" style="1194" customWidth="1"/>
    <col min="6921" max="7168" width="9.140625" style="1194"/>
    <col min="7169" max="7169" width="7.7109375" style="1194" customWidth="1"/>
    <col min="7170" max="7170" width="10.5703125" style="1194" customWidth="1"/>
    <col min="7171" max="7171" width="11.140625" style="1194" bestFit="1" customWidth="1"/>
    <col min="7172" max="7172" width="22.140625" style="1194" bestFit="1" customWidth="1"/>
    <col min="7173" max="7173" width="12.28515625" style="1194" customWidth="1"/>
    <col min="7174" max="7174" width="12.5703125" style="1194" customWidth="1"/>
    <col min="7175" max="7175" width="12.140625" style="1194" customWidth="1"/>
    <col min="7176" max="7176" width="19.7109375" style="1194" customWidth="1"/>
    <col min="7177" max="7424" width="9.140625" style="1194"/>
    <col min="7425" max="7425" width="7.7109375" style="1194" customWidth="1"/>
    <col min="7426" max="7426" width="10.5703125" style="1194" customWidth="1"/>
    <col min="7427" max="7427" width="11.140625" style="1194" bestFit="1" customWidth="1"/>
    <col min="7428" max="7428" width="22.140625" style="1194" bestFit="1" customWidth="1"/>
    <col min="7429" max="7429" width="12.28515625" style="1194" customWidth="1"/>
    <col min="7430" max="7430" width="12.5703125" style="1194" customWidth="1"/>
    <col min="7431" max="7431" width="12.140625" style="1194" customWidth="1"/>
    <col min="7432" max="7432" width="19.7109375" style="1194" customWidth="1"/>
    <col min="7433" max="7680" width="9.140625" style="1194"/>
    <col min="7681" max="7681" width="7.7109375" style="1194" customWidth="1"/>
    <col min="7682" max="7682" width="10.5703125" style="1194" customWidth="1"/>
    <col min="7683" max="7683" width="11.140625" style="1194" bestFit="1" customWidth="1"/>
    <col min="7684" max="7684" width="22.140625" style="1194" bestFit="1" customWidth="1"/>
    <col min="7685" max="7685" width="12.28515625" style="1194" customWidth="1"/>
    <col min="7686" max="7686" width="12.5703125" style="1194" customWidth="1"/>
    <col min="7687" max="7687" width="12.140625" style="1194" customWidth="1"/>
    <col min="7688" max="7688" width="19.7109375" style="1194" customWidth="1"/>
    <col min="7689" max="7936" width="9.140625" style="1194"/>
    <col min="7937" max="7937" width="7.7109375" style="1194" customWidth="1"/>
    <col min="7938" max="7938" width="10.5703125" style="1194" customWidth="1"/>
    <col min="7939" max="7939" width="11.140625" style="1194" bestFit="1" customWidth="1"/>
    <col min="7940" max="7940" width="22.140625" style="1194" bestFit="1" customWidth="1"/>
    <col min="7941" max="7941" width="12.28515625" style="1194" customWidth="1"/>
    <col min="7942" max="7942" width="12.5703125" style="1194" customWidth="1"/>
    <col min="7943" max="7943" width="12.140625" style="1194" customWidth="1"/>
    <col min="7944" max="7944" width="19.7109375" style="1194" customWidth="1"/>
    <col min="7945" max="8192" width="9.140625" style="1194"/>
    <col min="8193" max="8193" width="7.7109375" style="1194" customWidth="1"/>
    <col min="8194" max="8194" width="10.5703125" style="1194" customWidth="1"/>
    <col min="8195" max="8195" width="11.140625" style="1194" bestFit="1" customWidth="1"/>
    <col min="8196" max="8196" width="22.140625" style="1194" bestFit="1" customWidth="1"/>
    <col min="8197" max="8197" width="12.28515625" style="1194" customWidth="1"/>
    <col min="8198" max="8198" width="12.5703125" style="1194" customWidth="1"/>
    <col min="8199" max="8199" width="12.140625" style="1194" customWidth="1"/>
    <col min="8200" max="8200" width="19.7109375" style="1194" customWidth="1"/>
    <col min="8201" max="8448" width="9.140625" style="1194"/>
    <col min="8449" max="8449" width="7.7109375" style="1194" customWidth="1"/>
    <col min="8450" max="8450" width="10.5703125" style="1194" customWidth="1"/>
    <col min="8451" max="8451" width="11.140625" style="1194" bestFit="1" customWidth="1"/>
    <col min="8452" max="8452" width="22.140625" style="1194" bestFit="1" customWidth="1"/>
    <col min="8453" max="8453" width="12.28515625" style="1194" customWidth="1"/>
    <col min="8454" max="8454" width="12.5703125" style="1194" customWidth="1"/>
    <col min="8455" max="8455" width="12.140625" style="1194" customWidth="1"/>
    <col min="8456" max="8456" width="19.7109375" style="1194" customWidth="1"/>
    <col min="8457" max="8704" width="9.140625" style="1194"/>
    <col min="8705" max="8705" width="7.7109375" style="1194" customWidth="1"/>
    <col min="8706" max="8706" width="10.5703125" style="1194" customWidth="1"/>
    <col min="8707" max="8707" width="11.140625" style="1194" bestFit="1" customWidth="1"/>
    <col min="8708" max="8708" width="22.140625" style="1194" bestFit="1" customWidth="1"/>
    <col min="8709" max="8709" width="12.28515625" style="1194" customWidth="1"/>
    <col min="8710" max="8710" width="12.5703125" style="1194" customWidth="1"/>
    <col min="8711" max="8711" width="12.140625" style="1194" customWidth="1"/>
    <col min="8712" max="8712" width="19.7109375" style="1194" customWidth="1"/>
    <col min="8713" max="8960" width="9.140625" style="1194"/>
    <col min="8961" max="8961" width="7.7109375" style="1194" customWidth="1"/>
    <col min="8962" max="8962" width="10.5703125" style="1194" customWidth="1"/>
    <col min="8963" max="8963" width="11.140625" style="1194" bestFit="1" customWidth="1"/>
    <col min="8964" max="8964" width="22.140625" style="1194" bestFit="1" customWidth="1"/>
    <col min="8965" max="8965" width="12.28515625" style="1194" customWidth="1"/>
    <col min="8966" max="8966" width="12.5703125" style="1194" customWidth="1"/>
    <col min="8967" max="8967" width="12.140625" style="1194" customWidth="1"/>
    <col min="8968" max="8968" width="19.7109375" style="1194" customWidth="1"/>
    <col min="8969" max="9216" width="9.140625" style="1194"/>
    <col min="9217" max="9217" width="7.7109375" style="1194" customWidth="1"/>
    <col min="9218" max="9218" width="10.5703125" style="1194" customWidth="1"/>
    <col min="9219" max="9219" width="11.140625" style="1194" bestFit="1" customWidth="1"/>
    <col min="9220" max="9220" width="22.140625" style="1194" bestFit="1" customWidth="1"/>
    <col min="9221" max="9221" width="12.28515625" style="1194" customWidth="1"/>
    <col min="9222" max="9222" width="12.5703125" style="1194" customWidth="1"/>
    <col min="9223" max="9223" width="12.140625" style="1194" customWidth="1"/>
    <col min="9224" max="9224" width="19.7109375" style="1194" customWidth="1"/>
    <col min="9225" max="9472" width="9.140625" style="1194"/>
    <col min="9473" max="9473" width="7.7109375" style="1194" customWidth="1"/>
    <col min="9474" max="9474" width="10.5703125" style="1194" customWidth="1"/>
    <col min="9475" max="9475" width="11.140625" style="1194" bestFit="1" customWidth="1"/>
    <col min="9476" max="9476" width="22.140625" style="1194" bestFit="1" customWidth="1"/>
    <col min="9477" max="9477" width="12.28515625" style="1194" customWidth="1"/>
    <col min="9478" max="9478" width="12.5703125" style="1194" customWidth="1"/>
    <col min="9479" max="9479" width="12.140625" style="1194" customWidth="1"/>
    <col min="9480" max="9480" width="19.7109375" style="1194" customWidth="1"/>
    <col min="9481" max="9728" width="9.140625" style="1194"/>
    <col min="9729" max="9729" width="7.7109375" style="1194" customWidth="1"/>
    <col min="9730" max="9730" width="10.5703125" style="1194" customWidth="1"/>
    <col min="9731" max="9731" width="11.140625" style="1194" bestFit="1" customWidth="1"/>
    <col min="9732" max="9732" width="22.140625" style="1194" bestFit="1" customWidth="1"/>
    <col min="9733" max="9733" width="12.28515625" style="1194" customWidth="1"/>
    <col min="9734" max="9734" width="12.5703125" style="1194" customWidth="1"/>
    <col min="9735" max="9735" width="12.140625" style="1194" customWidth="1"/>
    <col min="9736" max="9736" width="19.7109375" style="1194" customWidth="1"/>
    <col min="9737" max="9984" width="9.140625" style="1194"/>
    <col min="9985" max="9985" width="7.7109375" style="1194" customWidth="1"/>
    <col min="9986" max="9986" width="10.5703125" style="1194" customWidth="1"/>
    <col min="9987" max="9987" width="11.140625" style="1194" bestFit="1" customWidth="1"/>
    <col min="9988" max="9988" width="22.140625" style="1194" bestFit="1" customWidth="1"/>
    <col min="9989" max="9989" width="12.28515625" style="1194" customWidth="1"/>
    <col min="9990" max="9990" width="12.5703125" style="1194" customWidth="1"/>
    <col min="9991" max="9991" width="12.140625" style="1194" customWidth="1"/>
    <col min="9992" max="9992" width="19.7109375" style="1194" customWidth="1"/>
    <col min="9993" max="10240" width="9.140625" style="1194"/>
    <col min="10241" max="10241" width="7.7109375" style="1194" customWidth="1"/>
    <col min="10242" max="10242" width="10.5703125" style="1194" customWidth="1"/>
    <col min="10243" max="10243" width="11.140625" style="1194" bestFit="1" customWidth="1"/>
    <col min="10244" max="10244" width="22.140625" style="1194" bestFit="1" customWidth="1"/>
    <col min="10245" max="10245" width="12.28515625" style="1194" customWidth="1"/>
    <col min="10246" max="10246" width="12.5703125" style="1194" customWidth="1"/>
    <col min="10247" max="10247" width="12.140625" style="1194" customWidth="1"/>
    <col min="10248" max="10248" width="19.7109375" style="1194" customWidth="1"/>
    <col min="10249" max="10496" width="9.140625" style="1194"/>
    <col min="10497" max="10497" width="7.7109375" style="1194" customWidth="1"/>
    <col min="10498" max="10498" width="10.5703125" style="1194" customWidth="1"/>
    <col min="10499" max="10499" width="11.140625" style="1194" bestFit="1" customWidth="1"/>
    <col min="10500" max="10500" width="22.140625" style="1194" bestFit="1" customWidth="1"/>
    <col min="10501" max="10501" width="12.28515625" style="1194" customWidth="1"/>
    <col min="10502" max="10502" width="12.5703125" style="1194" customWidth="1"/>
    <col min="10503" max="10503" width="12.140625" style="1194" customWidth="1"/>
    <col min="10504" max="10504" width="19.7109375" style="1194" customWidth="1"/>
    <col min="10505" max="10752" width="9.140625" style="1194"/>
    <col min="10753" max="10753" width="7.7109375" style="1194" customWidth="1"/>
    <col min="10754" max="10754" width="10.5703125" style="1194" customWidth="1"/>
    <col min="10755" max="10755" width="11.140625" style="1194" bestFit="1" customWidth="1"/>
    <col min="10756" max="10756" width="22.140625" style="1194" bestFit="1" customWidth="1"/>
    <col min="10757" max="10757" width="12.28515625" style="1194" customWidth="1"/>
    <col min="10758" max="10758" width="12.5703125" style="1194" customWidth="1"/>
    <col min="10759" max="10759" width="12.140625" style="1194" customWidth="1"/>
    <col min="10760" max="10760" width="19.7109375" style="1194" customWidth="1"/>
    <col min="10761" max="11008" width="9.140625" style="1194"/>
    <col min="11009" max="11009" width="7.7109375" style="1194" customWidth="1"/>
    <col min="11010" max="11010" width="10.5703125" style="1194" customWidth="1"/>
    <col min="11011" max="11011" width="11.140625" style="1194" bestFit="1" customWidth="1"/>
    <col min="11012" max="11012" width="22.140625" style="1194" bestFit="1" customWidth="1"/>
    <col min="11013" max="11013" width="12.28515625" style="1194" customWidth="1"/>
    <col min="11014" max="11014" width="12.5703125" style="1194" customWidth="1"/>
    <col min="11015" max="11015" width="12.140625" style="1194" customWidth="1"/>
    <col min="11016" max="11016" width="19.7109375" style="1194" customWidth="1"/>
    <col min="11017" max="11264" width="9.140625" style="1194"/>
    <col min="11265" max="11265" width="7.7109375" style="1194" customWidth="1"/>
    <col min="11266" max="11266" width="10.5703125" style="1194" customWidth="1"/>
    <col min="11267" max="11267" width="11.140625" style="1194" bestFit="1" customWidth="1"/>
    <col min="11268" max="11268" width="22.140625" style="1194" bestFit="1" customWidth="1"/>
    <col min="11269" max="11269" width="12.28515625" style="1194" customWidth="1"/>
    <col min="11270" max="11270" width="12.5703125" style="1194" customWidth="1"/>
    <col min="11271" max="11271" width="12.140625" style="1194" customWidth="1"/>
    <col min="11272" max="11272" width="19.7109375" style="1194" customWidth="1"/>
    <col min="11273" max="11520" width="9.140625" style="1194"/>
    <col min="11521" max="11521" width="7.7109375" style="1194" customWidth="1"/>
    <col min="11522" max="11522" width="10.5703125" style="1194" customWidth="1"/>
    <col min="11523" max="11523" width="11.140625" style="1194" bestFit="1" customWidth="1"/>
    <col min="11524" max="11524" width="22.140625" style="1194" bestFit="1" customWidth="1"/>
    <col min="11525" max="11525" width="12.28515625" style="1194" customWidth="1"/>
    <col min="11526" max="11526" width="12.5703125" style="1194" customWidth="1"/>
    <col min="11527" max="11527" width="12.140625" style="1194" customWidth="1"/>
    <col min="11528" max="11528" width="19.7109375" style="1194" customWidth="1"/>
    <col min="11529" max="11776" width="9.140625" style="1194"/>
    <col min="11777" max="11777" width="7.7109375" style="1194" customWidth="1"/>
    <col min="11778" max="11778" width="10.5703125" style="1194" customWidth="1"/>
    <col min="11779" max="11779" width="11.140625" style="1194" bestFit="1" customWidth="1"/>
    <col min="11780" max="11780" width="22.140625" style="1194" bestFit="1" customWidth="1"/>
    <col min="11781" max="11781" width="12.28515625" style="1194" customWidth="1"/>
    <col min="11782" max="11782" width="12.5703125" style="1194" customWidth="1"/>
    <col min="11783" max="11783" width="12.140625" style="1194" customWidth="1"/>
    <col min="11784" max="11784" width="19.7109375" style="1194" customWidth="1"/>
    <col min="11785" max="12032" width="9.140625" style="1194"/>
    <col min="12033" max="12033" width="7.7109375" style="1194" customWidth="1"/>
    <col min="12034" max="12034" width="10.5703125" style="1194" customWidth="1"/>
    <col min="12035" max="12035" width="11.140625" style="1194" bestFit="1" customWidth="1"/>
    <col min="12036" max="12036" width="22.140625" style="1194" bestFit="1" customWidth="1"/>
    <col min="12037" max="12037" width="12.28515625" style="1194" customWidth="1"/>
    <col min="12038" max="12038" width="12.5703125" style="1194" customWidth="1"/>
    <col min="12039" max="12039" width="12.140625" style="1194" customWidth="1"/>
    <col min="12040" max="12040" width="19.7109375" style="1194" customWidth="1"/>
    <col min="12041" max="12288" width="9.140625" style="1194"/>
    <col min="12289" max="12289" width="7.7109375" style="1194" customWidth="1"/>
    <col min="12290" max="12290" width="10.5703125" style="1194" customWidth="1"/>
    <col min="12291" max="12291" width="11.140625" style="1194" bestFit="1" customWidth="1"/>
    <col min="12292" max="12292" width="22.140625" style="1194" bestFit="1" customWidth="1"/>
    <col min="12293" max="12293" width="12.28515625" style="1194" customWidth="1"/>
    <col min="12294" max="12294" width="12.5703125" style="1194" customWidth="1"/>
    <col min="12295" max="12295" width="12.140625" style="1194" customWidth="1"/>
    <col min="12296" max="12296" width="19.7109375" style="1194" customWidth="1"/>
    <col min="12297" max="12544" width="9.140625" style="1194"/>
    <col min="12545" max="12545" width="7.7109375" style="1194" customWidth="1"/>
    <col min="12546" max="12546" width="10.5703125" style="1194" customWidth="1"/>
    <col min="12547" max="12547" width="11.140625" style="1194" bestFit="1" customWidth="1"/>
    <col min="12548" max="12548" width="22.140625" style="1194" bestFit="1" customWidth="1"/>
    <col min="12549" max="12549" width="12.28515625" style="1194" customWidth="1"/>
    <col min="12550" max="12550" width="12.5703125" style="1194" customWidth="1"/>
    <col min="12551" max="12551" width="12.140625" style="1194" customWidth="1"/>
    <col min="12552" max="12552" width="19.7109375" style="1194" customWidth="1"/>
    <col min="12553" max="12800" width="9.140625" style="1194"/>
    <col min="12801" max="12801" width="7.7109375" style="1194" customWidth="1"/>
    <col min="12802" max="12802" width="10.5703125" style="1194" customWidth="1"/>
    <col min="12803" max="12803" width="11.140625" style="1194" bestFit="1" customWidth="1"/>
    <col min="12804" max="12804" width="22.140625" style="1194" bestFit="1" customWidth="1"/>
    <col min="12805" max="12805" width="12.28515625" style="1194" customWidth="1"/>
    <col min="12806" max="12806" width="12.5703125" style="1194" customWidth="1"/>
    <col min="12807" max="12807" width="12.140625" style="1194" customWidth="1"/>
    <col min="12808" max="12808" width="19.7109375" style="1194" customWidth="1"/>
    <col min="12809" max="13056" width="9.140625" style="1194"/>
    <col min="13057" max="13057" width="7.7109375" style="1194" customWidth="1"/>
    <col min="13058" max="13058" width="10.5703125" style="1194" customWidth="1"/>
    <col min="13059" max="13059" width="11.140625" style="1194" bestFit="1" customWidth="1"/>
    <col min="13060" max="13060" width="22.140625" style="1194" bestFit="1" customWidth="1"/>
    <col min="13061" max="13061" width="12.28515625" style="1194" customWidth="1"/>
    <col min="13062" max="13062" width="12.5703125" style="1194" customWidth="1"/>
    <col min="13063" max="13063" width="12.140625" style="1194" customWidth="1"/>
    <col min="13064" max="13064" width="19.7109375" style="1194" customWidth="1"/>
    <col min="13065" max="13312" width="9.140625" style="1194"/>
    <col min="13313" max="13313" width="7.7109375" style="1194" customWidth="1"/>
    <col min="13314" max="13314" width="10.5703125" style="1194" customWidth="1"/>
    <col min="13315" max="13315" width="11.140625" style="1194" bestFit="1" customWidth="1"/>
    <col min="13316" max="13316" width="22.140625" style="1194" bestFit="1" customWidth="1"/>
    <col min="13317" max="13317" width="12.28515625" style="1194" customWidth="1"/>
    <col min="13318" max="13318" width="12.5703125" style="1194" customWidth="1"/>
    <col min="13319" max="13319" width="12.140625" style="1194" customWidth="1"/>
    <col min="13320" max="13320" width="19.7109375" style="1194" customWidth="1"/>
    <col min="13321" max="13568" width="9.140625" style="1194"/>
    <col min="13569" max="13569" width="7.7109375" style="1194" customWidth="1"/>
    <col min="13570" max="13570" width="10.5703125" style="1194" customWidth="1"/>
    <col min="13571" max="13571" width="11.140625" style="1194" bestFit="1" customWidth="1"/>
    <col min="13572" max="13572" width="22.140625" style="1194" bestFit="1" customWidth="1"/>
    <col min="13573" max="13573" width="12.28515625" style="1194" customWidth="1"/>
    <col min="13574" max="13574" width="12.5703125" style="1194" customWidth="1"/>
    <col min="13575" max="13575" width="12.140625" style="1194" customWidth="1"/>
    <col min="13576" max="13576" width="19.7109375" style="1194" customWidth="1"/>
    <col min="13577" max="13824" width="9.140625" style="1194"/>
    <col min="13825" max="13825" width="7.7109375" style="1194" customWidth="1"/>
    <col min="13826" max="13826" width="10.5703125" style="1194" customWidth="1"/>
    <col min="13827" max="13827" width="11.140625" style="1194" bestFit="1" customWidth="1"/>
    <col min="13828" max="13828" width="22.140625" style="1194" bestFit="1" customWidth="1"/>
    <col min="13829" max="13829" width="12.28515625" style="1194" customWidth="1"/>
    <col min="13830" max="13830" width="12.5703125" style="1194" customWidth="1"/>
    <col min="13831" max="13831" width="12.140625" style="1194" customWidth="1"/>
    <col min="13832" max="13832" width="19.7109375" style="1194" customWidth="1"/>
    <col min="13833" max="14080" width="9.140625" style="1194"/>
    <col min="14081" max="14081" width="7.7109375" style="1194" customWidth="1"/>
    <col min="14082" max="14082" width="10.5703125" style="1194" customWidth="1"/>
    <col min="14083" max="14083" width="11.140625" style="1194" bestFit="1" customWidth="1"/>
    <col min="14084" max="14084" width="22.140625" style="1194" bestFit="1" customWidth="1"/>
    <col min="14085" max="14085" width="12.28515625" style="1194" customWidth="1"/>
    <col min="14086" max="14086" width="12.5703125" style="1194" customWidth="1"/>
    <col min="14087" max="14087" width="12.140625" style="1194" customWidth="1"/>
    <col min="14088" max="14088" width="19.7109375" style="1194" customWidth="1"/>
    <col min="14089" max="14336" width="9.140625" style="1194"/>
    <col min="14337" max="14337" width="7.7109375" style="1194" customWidth="1"/>
    <col min="14338" max="14338" width="10.5703125" style="1194" customWidth="1"/>
    <col min="14339" max="14339" width="11.140625" style="1194" bestFit="1" customWidth="1"/>
    <col min="14340" max="14340" width="22.140625" style="1194" bestFit="1" customWidth="1"/>
    <col min="14341" max="14341" width="12.28515625" style="1194" customWidth="1"/>
    <col min="14342" max="14342" width="12.5703125" style="1194" customWidth="1"/>
    <col min="14343" max="14343" width="12.140625" style="1194" customWidth="1"/>
    <col min="14344" max="14344" width="19.7109375" style="1194" customWidth="1"/>
    <col min="14345" max="14592" width="9.140625" style="1194"/>
    <col min="14593" max="14593" width="7.7109375" style="1194" customWidth="1"/>
    <col min="14594" max="14594" width="10.5703125" style="1194" customWidth="1"/>
    <col min="14595" max="14595" width="11.140625" style="1194" bestFit="1" customWidth="1"/>
    <col min="14596" max="14596" width="22.140625" style="1194" bestFit="1" customWidth="1"/>
    <col min="14597" max="14597" width="12.28515625" style="1194" customWidth="1"/>
    <col min="14598" max="14598" width="12.5703125" style="1194" customWidth="1"/>
    <col min="14599" max="14599" width="12.140625" style="1194" customWidth="1"/>
    <col min="14600" max="14600" width="19.7109375" style="1194" customWidth="1"/>
    <col min="14601" max="14848" width="9.140625" style="1194"/>
    <col min="14849" max="14849" width="7.7109375" style="1194" customWidth="1"/>
    <col min="14850" max="14850" width="10.5703125" style="1194" customWidth="1"/>
    <col min="14851" max="14851" width="11.140625" style="1194" bestFit="1" customWidth="1"/>
    <col min="14852" max="14852" width="22.140625" style="1194" bestFit="1" customWidth="1"/>
    <col min="14853" max="14853" width="12.28515625" style="1194" customWidth="1"/>
    <col min="14854" max="14854" width="12.5703125" style="1194" customWidth="1"/>
    <col min="14855" max="14855" width="12.140625" style="1194" customWidth="1"/>
    <col min="14856" max="14856" width="19.7109375" style="1194" customWidth="1"/>
    <col min="14857" max="15104" width="9.140625" style="1194"/>
    <col min="15105" max="15105" width="7.7109375" style="1194" customWidth="1"/>
    <col min="15106" max="15106" width="10.5703125" style="1194" customWidth="1"/>
    <col min="15107" max="15107" width="11.140625" style="1194" bestFit="1" customWidth="1"/>
    <col min="15108" max="15108" width="22.140625" style="1194" bestFit="1" customWidth="1"/>
    <col min="15109" max="15109" width="12.28515625" style="1194" customWidth="1"/>
    <col min="15110" max="15110" width="12.5703125" style="1194" customWidth="1"/>
    <col min="15111" max="15111" width="12.140625" style="1194" customWidth="1"/>
    <col min="15112" max="15112" width="19.7109375" style="1194" customWidth="1"/>
    <col min="15113" max="15360" width="9.140625" style="1194"/>
    <col min="15361" max="15361" width="7.7109375" style="1194" customWidth="1"/>
    <col min="15362" max="15362" width="10.5703125" style="1194" customWidth="1"/>
    <col min="15363" max="15363" width="11.140625" style="1194" bestFit="1" customWidth="1"/>
    <col min="15364" max="15364" width="22.140625" style="1194" bestFit="1" customWidth="1"/>
    <col min="15365" max="15365" width="12.28515625" style="1194" customWidth="1"/>
    <col min="15366" max="15366" width="12.5703125" style="1194" customWidth="1"/>
    <col min="15367" max="15367" width="12.140625" style="1194" customWidth="1"/>
    <col min="15368" max="15368" width="19.7109375" style="1194" customWidth="1"/>
    <col min="15369" max="15616" width="9.140625" style="1194"/>
    <col min="15617" max="15617" width="7.7109375" style="1194" customWidth="1"/>
    <col min="15618" max="15618" width="10.5703125" style="1194" customWidth="1"/>
    <col min="15619" max="15619" width="11.140625" style="1194" bestFit="1" customWidth="1"/>
    <col min="15620" max="15620" width="22.140625" style="1194" bestFit="1" customWidth="1"/>
    <col min="15621" max="15621" width="12.28515625" style="1194" customWidth="1"/>
    <col min="15622" max="15622" width="12.5703125" style="1194" customWidth="1"/>
    <col min="15623" max="15623" width="12.140625" style="1194" customWidth="1"/>
    <col min="15624" max="15624" width="19.7109375" style="1194" customWidth="1"/>
    <col min="15625" max="15872" width="9.140625" style="1194"/>
    <col min="15873" max="15873" width="7.7109375" style="1194" customWidth="1"/>
    <col min="15874" max="15874" width="10.5703125" style="1194" customWidth="1"/>
    <col min="15875" max="15875" width="11.140625" style="1194" bestFit="1" customWidth="1"/>
    <col min="15876" max="15876" width="22.140625" style="1194" bestFit="1" customWidth="1"/>
    <col min="15877" max="15877" width="12.28515625" style="1194" customWidth="1"/>
    <col min="15878" max="15878" width="12.5703125" style="1194" customWidth="1"/>
    <col min="15879" max="15879" width="12.140625" style="1194" customWidth="1"/>
    <col min="15880" max="15880" width="19.7109375" style="1194" customWidth="1"/>
    <col min="15881" max="16128" width="9.140625" style="1194"/>
    <col min="16129" max="16129" width="7.7109375" style="1194" customWidth="1"/>
    <col min="16130" max="16130" width="10.5703125" style="1194" customWidth="1"/>
    <col min="16131" max="16131" width="11.140625" style="1194" bestFit="1" customWidth="1"/>
    <col min="16132" max="16132" width="22.140625" style="1194" bestFit="1" customWidth="1"/>
    <col min="16133" max="16133" width="12.28515625" style="1194" customWidth="1"/>
    <col min="16134" max="16134" width="12.5703125" style="1194" customWidth="1"/>
    <col min="16135" max="16135" width="12.140625" style="1194" customWidth="1"/>
    <col min="16136" max="16136" width="19.7109375" style="1194" customWidth="1"/>
    <col min="16137" max="16384" width="9.140625" style="1194"/>
  </cols>
  <sheetData>
    <row r="1" spans="1:10" ht="50.1" customHeight="1">
      <c r="A1" s="4952"/>
      <c r="B1" s="4952"/>
      <c r="C1" s="1344"/>
      <c r="D1" s="1344"/>
      <c r="E1" s="1344"/>
      <c r="F1" s="1344"/>
      <c r="G1" s="1343" t="s">
        <v>1461</v>
      </c>
    </row>
    <row r="2" spans="1:10" ht="45" customHeight="1">
      <c r="A2" s="4832" t="s">
        <v>673</v>
      </c>
      <c r="B2" s="4832"/>
      <c r="C2" s="4832"/>
      <c r="D2" s="4832"/>
      <c r="E2" s="4832"/>
      <c r="F2" s="4832"/>
      <c r="G2" s="4832"/>
    </row>
    <row r="3" spans="1:10" ht="15">
      <c r="A3" s="1342"/>
      <c r="B3" s="1342"/>
      <c r="C3" s="1342"/>
      <c r="D3" s="1342"/>
      <c r="E3" s="1342"/>
      <c r="F3" s="1342"/>
      <c r="G3" s="1341" t="s">
        <v>1</v>
      </c>
    </row>
    <row r="4" spans="1:10" s="1360" customFormat="1" ht="20.100000000000001" customHeight="1" thickBot="1">
      <c r="A4" s="4953" t="s">
        <v>672</v>
      </c>
      <c r="B4" s="4953"/>
      <c r="C4" s="4953"/>
      <c r="D4" s="4953"/>
      <c r="E4" s="4953"/>
      <c r="F4" s="4953"/>
      <c r="G4" s="4953"/>
      <c r="H4" s="1366"/>
      <c r="I4" s="1226"/>
      <c r="J4" s="1226"/>
    </row>
    <row r="5" spans="1:10" s="1211" customFormat="1" ht="15" customHeight="1">
      <c r="A5" s="4954" t="s">
        <v>2</v>
      </c>
      <c r="B5" s="4956" t="s">
        <v>651</v>
      </c>
      <c r="C5" s="4956" t="s">
        <v>5</v>
      </c>
      <c r="D5" s="4958" t="s">
        <v>662</v>
      </c>
      <c r="E5" s="4956" t="s">
        <v>412</v>
      </c>
      <c r="F5" s="4956"/>
      <c r="G5" s="4960" t="s">
        <v>661</v>
      </c>
      <c r="H5" s="1363"/>
      <c r="I5" s="1362"/>
      <c r="J5" s="1362"/>
    </row>
    <row r="6" spans="1:10" s="1211" customFormat="1" ht="20.100000000000001" customHeight="1">
      <c r="A6" s="4955"/>
      <c r="B6" s="4957"/>
      <c r="C6" s="4957"/>
      <c r="D6" s="4959"/>
      <c r="E6" s="1336" t="s">
        <v>660</v>
      </c>
      <c r="F6" s="1336" t="s">
        <v>659</v>
      </c>
      <c r="G6" s="4961"/>
      <c r="H6" s="1363"/>
      <c r="I6" s="1362"/>
      <c r="J6" s="1362"/>
    </row>
    <row r="7" spans="1:10" s="1211" customFormat="1" ht="51">
      <c r="A7" s="1365">
        <v>750</v>
      </c>
      <c r="B7" s="1334">
        <v>75095</v>
      </c>
      <c r="C7" s="1334">
        <v>6698</v>
      </c>
      <c r="D7" s="1332">
        <f>SUM(E7:F7)</f>
        <v>3001</v>
      </c>
      <c r="E7" s="1348">
        <v>0</v>
      </c>
      <c r="F7" s="1332">
        <v>3001</v>
      </c>
      <c r="G7" s="1364" t="s">
        <v>671</v>
      </c>
      <c r="H7" s="1363"/>
      <c r="I7" s="1362"/>
      <c r="J7" s="1362"/>
    </row>
    <row r="8" spans="1:10" ht="30" customHeight="1" thickBot="1">
      <c r="A8" s="4962" t="s">
        <v>655</v>
      </c>
      <c r="B8" s="4963"/>
      <c r="C8" s="4963"/>
      <c r="D8" s="1330">
        <f>SUM(D7:D7)</f>
        <v>3001</v>
      </c>
      <c r="E8" s="1330">
        <f>SUM(E7:E7)</f>
        <v>0</v>
      </c>
      <c r="F8" s="1330">
        <f>SUM(F7:F7)</f>
        <v>3001</v>
      </c>
      <c r="G8" s="1329"/>
    </row>
    <row r="9" spans="1:10">
      <c r="A9" s="1328"/>
      <c r="B9" s="1196"/>
      <c r="C9" s="1196"/>
      <c r="D9" s="1196"/>
      <c r="E9" s="1196"/>
      <c r="F9" s="1196"/>
      <c r="G9" s="1328"/>
      <c r="H9" s="1214"/>
      <c r="I9" s="1214"/>
      <c r="J9" s="1214"/>
    </row>
    <row r="10" spans="1:10">
      <c r="A10" s="1328"/>
      <c r="B10" s="1196"/>
      <c r="C10" s="1196"/>
      <c r="D10" s="1196"/>
      <c r="E10" s="1196"/>
      <c r="F10" s="1196"/>
      <c r="G10" s="1328"/>
      <c r="H10" s="1214"/>
      <c r="I10" s="1214"/>
      <c r="J10" s="1214"/>
    </row>
    <row r="11" spans="1:10">
      <c r="A11" s="1328"/>
      <c r="B11" s="1196"/>
      <c r="C11" s="1196"/>
      <c r="D11" s="1196"/>
      <c r="E11" s="1196"/>
      <c r="F11" s="1196"/>
      <c r="G11" s="1328"/>
      <c r="H11" s="1214"/>
      <c r="I11" s="1214"/>
      <c r="J11" s="1214"/>
    </row>
    <row r="12" spans="1:10">
      <c r="A12" s="1328"/>
      <c r="B12" s="1196"/>
      <c r="C12" s="1196"/>
      <c r="D12" s="1196"/>
      <c r="F12" s="1196"/>
      <c r="G12" s="1328"/>
      <c r="H12" s="1214"/>
      <c r="I12" s="1214"/>
      <c r="J12" s="1214"/>
    </row>
    <row r="13" spans="1:10">
      <c r="A13" s="1328"/>
      <c r="B13" s="1196"/>
      <c r="C13" s="1196"/>
      <c r="D13" s="1196"/>
      <c r="E13" s="1196"/>
      <c r="F13" s="1196"/>
      <c r="G13" s="1328"/>
      <c r="H13" s="1214"/>
      <c r="I13" s="1214"/>
      <c r="J13" s="1214"/>
    </row>
    <row r="14" spans="1:10" s="1326" customFormat="1">
      <c r="A14" s="1327"/>
      <c r="B14" s="1196"/>
      <c r="C14" s="1202"/>
      <c r="D14" s="1202"/>
      <c r="E14" s="1196"/>
      <c r="F14" s="1328"/>
      <c r="G14" s="1327"/>
      <c r="H14" s="1224"/>
      <c r="I14" s="1216"/>
      <c r="J14" s="1216"/>
    </row>
    <row r="15" spans="1:10">
      <c r="D15" s="1205"/>
      <c r="E15" s="1196"/>
      <c r="F15" s="1196"/>
    </row>
    <row r="17" spans="5:6">
      <c r="E17" s="1196"/>
      <c r="F17" s="1196"/>
    </row>
  </sheetData>
  <sheetProtection algorithmName="SHA-512" hashValue="SBD9u7AUCG2X160twZlKxcDGVdsy5TMJh3w8csMzCrnBDgv6mtfAMXrEQxyvIq4kHbUE6aJe3ikaW5YyJyd7ig==" saltValue="Zv0enQsoRYIb1y37TMAJFg==" spinCount="100000" sheet="1" objects="1" scenarios="1"/>
  <mergeCells count="10">
    <mergeCell ref="A1:B1"/>
    <mergeCell ref="A8:C8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428D-6AEE-44C9-8340-B9AA77B44B8C}">
  <sheetPr>
    <tabColor theme="2" tint="-9.9978637043366805E-2"/>
  </sheetPr>
  <dimension ref="A1:Q536"/>
  <sheetViews>
    <sheetView view="pageBreakPreview" zoomScale="120" zoomScaleSheetLayoutView="120" workbookViewId="0">
      <selection activeCell="R6" sqref="R6"/>
    </sheetView>
  </sheetViews>
  <sheetFormatPr defaultRowHeight="12.75"/>
  <cols>
    <col min="1" max="1" width="6.140625" style="1361" customWidth="1"/>
    <col min="2" max="3" width="8.85546875" style="1361" customWidth="1"/>
    <col min="4" max="4" width="43.42578125" style="1361" customWidth="1"/>
    <col min="5" max="5" width="11.28515625" style="1361" customWidth="1"/>
    <col min="6" max="6" width="11.5703125" style="1361" customWidth="1"/>
    <col min="7" max="7" width="9.140625" style="1361"/>
    <col min="8" max="8" width="8.85546875" style="3613" customWidth="1"/>
    <col min="9" max="16384" width="9.140625" style="1361"/>
  </cols>
  <sheetData>
    <row r="1" spans="1:8" ht="53.25" customHeight="1">
      <c r="A1" s="1575"/>
      <c r="B1" s="1575"/>
      <c r="C1" s="3632"/>
      <c r="D1" s="5006" t="s">
        <v>1462</v>
      </c>
      <c r="E1" s="5007"/>
    </row>
    <row r="2" spans="1:8" ht="64.5" customHeight="1">
      <c r="A2" s="4832" t="s">
        <v>1428</v>
      </c>
      <c r="B2" s="4832"/>
      <c r="C2" s="4832"/>
      <c r="D2" s="4832"/>
      <c r="E2" s="4832"/>
      <c r="F2" s="3631"/>
      <c r="G2" s="3631"/>
    </row>
    <row r="3" spans="1:8" s="1344" customFormat="1" ht="8.25" customHeight="1">
      <c r="A3" s="1700"/>
      <c r="B3" s="1700"/>
      <c r="C3" s="1700"/>
      <c r="D3" s="1700"/>
      <c r="E3" s="1341"/>
      <c r="H3" s="3630"/>
    </row>
    <row r="4" spans="1:8" ht="33.75" customHeight="1">
      <c r="A4" s="5008" t="s">
        <v>1427</v>
      </c>
      <c r="B4" s="5009"/>
      <c r="C4" s="5009"/>
      <c r="D4" s="5009"/>
      <c r="E4" s="5010"/>
    </row>
    <row r="5" spans="1:8" ht="13.5" customHeight="1" thickBot="1">
      <c r="A5" s="5011" t="s">
        <v>1</v>
      </c>
      <c r="B5" s="5011"/>
      <c r="C5" s="5011"/>
      <c r="D5" s="5011"/>
      <c r="E5" s="5011"/>
    </row>
    <row r="6" spans="1:8" ht="18.75" customHeight="1" thickBot="1">
      <c r="A6" s="3629" t="s">
        <v>2</v>
      </c>
      <c r="B6" s="3628" t="s">
        <v>651</v>
      </c>
      <c r="C6" s="3628" t="s">
        <v>5</v>
      </c>
      <c r="D6" s="3628" t="s">
        <v>853</v>
      </c>
      <c r="E6" s="3627" t="s">
        <v>919</v>
      </c>
    </row>
    <row r="7" spans="1:8" ht="18.75" customHeight="1">
      <c r="A7" s="5012" t="s">
        <v>21</v>
      </c>
      <c r="B7" s="5013" t="s">
        <v>22</v>
      </c>
      <c r="C7" s="5014"/>
      <c r="D7" s="5015"/>
      <c r="E7" s="3626">
        <f>SUM(E8)</f>
        <v>3629000</v>
      </c>
      <c r="G7" s="3613"/>
    </row>
    <row r="8" spans="1:8" s="3613" customFormat="1">
      <c r="A8" s="5004"/>
      <c r="B8" s="4993" t="s">
        <v>49</v>
      </c>
      <c r="C8" s="4995" t="s">
        <v>50</v>
      </c>
      <c r="D8" s="4995"/>
      <c r="E8" s="3621">
        <f>SUM(E9)</f>
        <v>3629000</v>
      </c>
      <c r="F8" s="1361"/>
      <c r="G8" s="1361"/>
    </row>
    <row r="9" spans="1:8" s="3613" customFormat="1">
      <c r="A9" s="5005"/>
      <c r="B9" s="4993"/>
      <c r="C9" s="3624">
        <v>2210</v>
      </c>
      <c r="D9" s="3625"/>
      <c r="E9" s="3623">
        <v>3629000</v>
      </c>
      <c r="F9" s="1361"/>
      <c r="G9" s="1361"/>
    </row>
    <row r="10" spans="1:8" s="3613" customFormat="1" ht="18.75" customHeight="1">
      <c r="A10" s="4988" t="s">
        <v>794</v>
      </c>
      <c r="B10" s="4990" t="s">
        <v>82</v>
      </c>
      <c r="C10" s="4991"/>
      <c r="D10" s="4992"/>
      <c r="E10" s="3622">
        <f>E11+E13</f>
        <v>51907000</v>
      </c>
      <c r="F10" s="1361"/>
    </row>
    <row r="11" spans="1:8" s="3613" customFormat="1">
      <c r="A11" s="4988"/>
      <c r="B11" s="4993" t="s">
        <v>793</v>
      </c>
      <c r="C11" s="4995" t="s">
        <v>103</v>
      </c>
      <c r="D11" s="4995"/>
      <c r="E11" s="3621">
        <f>SUM(E12)</f>
        <v>51604000</v>
      </c>
      <c r="F11" s="1361"/>
      <c r="G11" s="1361"/>
    </row>
    <row r="12" spans="1:8" s="3613" customFormat="1">
      <c r="A12" s="4988"/>
      <c r="B12" s="4993"/>
      <c r="C12" s="3624">
        <v>2210</v>
      </c>
      <c r="D12" s="3625"/>
      <c r="E12" s="3623">
        <v>51604000</v>
      </c>
      <c r="F12" s="1361"/>
      <c r="G12" s="1361"/>
    </row>
    <row r="13" spans="1:8" s="3613" customFormat="1">
      <c r="A13" s="4988"/>
      <c r="B13" s="4993" t="s">
        <v>1382</v>
      </c>
      <c r="C13" s="4995" t="s">
        <v>50</v>
      </c>
      <c r="D13" s="4995"/>
      <c r="E13" s="3621">
        <f>SUM(E14)</f>
        <v>303000</v>
      </c>
      <c r="F13" s="1361"/>
      <c r="G13" s="1361"/>
    </row>
    <row r="14" spans="1:8" s="3613" customFormat="1">
      <c r="A14" s="4988"/>
      <c r="B14" s="4993"/>
      <c r="C14" s="3624">
        <v>2210</v>
      </c>
      <c r="D14" s="3625"/>
      <c r="E14" s="3623">
        <v>303000</v>
      </c>
      <c r="F14" s="1361"/>
      <c r="G14" s="1361"/>
    </row>
    <row r="15" spans="1:8" s="3613" customFormat="1" ht="19.5" customHeight="1">
      <c r="A15" s="5003" t="s">
        <v>841</v>
      </c>
      <c r="B15" s="4990" t="s">
        <v>130</v>
      </c>
      <c r="C15" s="4991"/>
      <c r="D15" s="4992"/>
      <c r="E15" s="3622">
        <f>E16</f>
        <v>58000</v>
      </c>
      <c r="F15" s="1361"/>
    </row>
    <row r="16" spans="1:8" s="3613" customFormat="1">
      <c r="A16" s="5004"/>
      <c r="B16" s="4993" t="s">
        <v>1380</v>
      </c>
      <c r="C16" s="4995" t="s">
        <v>50</v>
      </c>
      <c r="D16" s="4995"/>
      <c r="E16" s="3621">
        <f>SUM(E17)</f>
        <v>58000</v>
      </c>
      <c r="F16" s="1361"/>
      <c r="G16" s="1361"/>
    </row>
    <row r="17" spans="1:7" s="3613" customFormat="1">
      <c r="A17" s="5005"/>
      <c r="B17" s="4993"/>
      <c r="C17" s="3624">
        <v>2210</v>
      </c>
      <c r="D17" s="3625"/>
      <c r="E17" s="3623">
        <v>58000</v>
      </c>
      <c r="F17" s="1361"/>
      <c r="G17" s="1361"/>
    </row>
    <row r="18" spans="1:7" s="3613" customFormat="1" ht="18.75" customHeight="1">
      <c r="A18" s="4988" t="s">
        <v>859</v>
      </c>
      <c r="B18" s="4990" t="s">
        <v>147</v>
      </c>
      <c r="C18" s="4991"/>
      <c r="D18" s="4992"/>
      <c r="E18" s="3622">
        <f>SUM(E19)</f>
        <v>347000</v>
      </c>
      <c r="F18" s="1361"/>
      <c r="G18" s="1361"/>
    </row>
    <row r="19" spans="1:7" s="3613" customFormat="1">
      <c r="A19" s="4988"/>
      <c r="B19" s="4993" t="s">
        <v>1356</v>
      </c>
      <c r="C19" s="4995" t="s">
        <v>151</v>
      </c>
      <c r="D19" s="4995"/>
      <c r="E19" s="3621">
        <f>SUM(E20)</f>
        <v>347000</v>
      </c>
      <c r="F19" s="1361"/>
      <c r="G19" s="1361"/>
    </row>
    <row r="20" spans="1:7" s="3613" customFormat="1">
      <c r="A20" s="4988"/>
      <c r="B20" s="4993"/>
      <c r="C20" s="3624">
        <v>2210</v>
      </c>
      <c r="D20" s="3624"/>
      <c r="E20" s="3623">
        <v>347000</v>
      </c>
      <c r="F20" s="1361"/>
      <c r="G20" s="1361"/>
    </row>
    <row r="21" spans="1:7" s="3613" customFormat="1" ht="19.5" customHeight="1">
      <c r="A21" s="4988" t="s">
        <v>483</v>
      </c>
      <c r="B21" s="4990" t="s">
        <v>177</v>
      </c>
      <c r="C21" s="4991"/>
      <c r="D21" s="4992"/>
      <c r="E21" s="3622">
        <f>SUM(E22,E24,E26)</f>
        <v>550000</v>
      </c>
      <c r="F21" s="1361"/>
      <c r="G21" s="1361"/>
    </row>
    <row r="22" spans="1:7" s="3613" customFormat="1">
      <c r="A22" s="4988"/>
      <c r="B22" s="4993" t="s">
        <v>1338</v>
      </c>
      <c r="C22" s="4995" t="s">
        <v>178</v>
      </c>
      <c r="D22" s="4995"/>
      <c r="E22" s="3621">
        <f>SUM(E23)</f>
        <v>276000</v>
      </c>
      <c r="F22" s="1361"/>
      <c r="G22" s="1361"/>
    </row>
    <row r="23" spans="1:7" s="3613" customFormat="1">
      <c r="A23" s="4988"/>
      <c r="B23" s="4993"/>
      <c r="C23" s="3624">
        <v>2210</v>
      </c>
      <c r="D23" s="3624"/>
      <c r="E23" s="3623">
        <v>276000</v>
      </c>
      <c r="F23" s="1361"/>
      <c r="G23" s="1361"/>
    </row>
    <row r="24" spans="1:7" s="3613" customFormat="1">
      <c r="A24" s="4988"/>
      <c r="B24" s="4993" t="s">
        <v>1319</v>
      </c>
      <c r="C24" s="4995" t="s">
        <v>187</v>
      </c>
      <c r="D24" s="4995"/>
      <c r="E24" s="3621">
        <f>SUM(E25)</f>
        <v>20000</v>
      </c>
      <c r="F24" s="1361"/>
      <c r="G24" s="1361"/>
    </row>
    <row r="25" spans="1:7" s="3613" customFormat="1">
      <c r="A25" s="4988"/>
      <c r="B25" s="4993"/>
      <c r="C25" s="3624">
        <v>2210</v>
      </c>
      <c r="D25" s="3624"/>
      <c r="E25" s="3623">
        <v>20000</v>
      </c>
      <c r="F25" s="1361"/>
      <c r="G25" s="1361"/>
    </row>
    <row r="26" spans="1:7" s="3613" customFormat="1">
      <c r="A26" s="4988"/>
      <c r="B26" s="4993" t="s">
        <v>1310</v>
      </c>
      <c r="C26" s="4995" t="s">
        <v>193</v>
      </c>
      <c r="D26" s="4995"/>
      <c r="E26" s="3621">
        <f>SUM(E27)</f>
        <v>254000</v>
      </c>
      <c r="F26" s="1361"/>
      <c r="G26" s="1361"/>
    </row>
    <row r="27" spans="1:7" s="3613" customFormat="1">
      <c r="A27" s="4988"/>
      <c r="B27" s="4993"/>
      <c r="C27" s="3624">
        <v>2210</v>
      </c>
      <c r="D27" s="3624"/>
      <c r="E27" s="3623">
        <v>254000</v>
      </c>
      <c r="F27" s="1361"/>
      <c r="G27" s="1361"/>
    </row>
    <row r="28" spans="1:7" s="3613" customFormat="1" ht="18" customHeight="1">
      <c r="A28" s="4988" t="s">
        <v>835</v>
      </c>
      <c r="B28" s="4990" t="s">
        <v>1426</v>
      </c>
      <c r="C28" s="4991"/>
      <c r="D28" s="4992"/>
      <c r="E28" s="3622">
        <f>SUM(E33,E29,E31)</f>
        <v>18684000</v>
      </c>
      <c r="G28" s="1361"/>
    </row>
    <row r="29" spans="1:7" s="3613" customFormat="1">
      <c r="A29" s="4988"/>
      <c r="B29" s="4993" t="s">
        <v>1178</v>
      </c>
      <c r="C29" s="5002" t="s">
        <v>312</v>
      </c>
      <c r="D29" s="4995"/>
      <c r="E29" s="3621">
        <f>SUM(E30)</f>
        <v>150000</v>
      </c>
      <c r="F29" s="1361"/>
      <c r="G29" s="1361"/>
    </row>
    <row r="30" spans="1:7" s="3613" customFormat="1">
      <c r="A30" s="4988"/>
      <c r="B30" s="4993"/>
      <c r="C30" s="3624">
        <v>6510</v>
      </c>
      <c r="D30" s="3624"/>
      <c r="E30" s="3623">
        <v>150000</v>
      </c>
      <c r="F30" s="1361"/>
      <c r="G30" s="1361"/>
    </row>
    <row r="31" spans="1:7" s="3613" customFormat="1">
      <c r="A31" s="4988"/>
      <c r="B31" s="4993" t="s">
        <v>1169</v>
      </c>
      <c r="C31" s="5002" t="s">
        <v>1168</v>
      </c>
      <c r="D31" s="4995"/>
      <c r="E31" s="3621">
        <f>SUM(E32)</f>
        <v>18504000</v>
      </c>
      <c r="F31" s="1361"/>
      <c r="G31" s="1361"/>
    </row>
    <row r="32" spans="1:7" s="3613" customFormat="1">
      <c r="A32" s="4988"/>
      <c r="B32" s="4993"/>
      <c r="C32" s="3624">
        <v>2210</v>
      </c>
      <c r="D32" s="3624"/>
      <c r="E32" s="3623">
        <v>18504000</v>
      </c>
      <c r="F32" s="1361"/>
      <c r="G32" s="1361"/>
    </row>
    <row r="33" spans="1:7" s="3613" customFormat="1">
      <c r="A33" s="4988"/>
      <c r="B33" s="4993" t="s">
        <v>603</v>
      </c>
      <c r="C33" s="5002" t="s">
        <v>50</v>
      </c>
      <c r="D33" s="4995"/>
      <c r="E33" s="3621">
        <f>SUM(E34)</f>
        <v>30000</v>
      </c>
      <c r="F33" s="1361"/>
      <c r="G33" s="1361"/>
    </row>
    <row r="34" spans="1:7" s="3613" customFormat="1">
      <c r="A34" s="4988"/>
      <c r="B34" s="4993"/>
      <c r="C34" s="3624">
        <v>2210</v>
      </c>
      <c r="D34" s="3624"/>
      <c r="E34" s="3623">
        <v>30000</v>
      </c>
      <c r="F34" s="1361"/>
      <c r="G34" s="1361"/>
    </row>
    <row r="35" spans="1:7" s="3613" customFormat="1" ht="20.25" customHeight="1">
      <c r="A35" s="4988" t="s">
        <v>824</v>
      </c>
      <c r="B35" s="4999" t="s">
        <v>350</v>
      </c>
      <c r="C35" s="5000"/>
      <c r="D35" s="5001"/>
      <c r="E35" s="3622">
        <f>SUM(E36)</f>
        <v>1000</v>
      </c>
      <c r="F35" s="1361"/>
      <c r="G35" s="1361"/>
    </row>
    <row r="36" spans="1:7" s="3613" customFormat="1">
      <c r="A36" s="4988"/>
      <c r="B36" s="4993" t="s">
        <v>502</v>
      </c>
      <c r="C36" s="4995" t="s">
        <v>1124</v>
      </c>
      <c r="D36" s="4995"/>
      <c r="E36" s="3621">
        <f>SUM(E37)</f>
        <v>1000</v>
      </c>
      <c r="F36" s="1361"/>
      <c r="G36" s="1361"/>
    </row>
    <row r="37" spans="1:7" s="3613" customFormat="1">
      <c r="A37" s="4988"/>
      <c r="B37" s="4993"/>
      <c r="C37" s="3624">
        <v>2210</v>
      </c>
      <c r="D37" s="3624"/>
      <c r="E37" s="3623">
        <v>1000</v>
      </c>
      <c r="F37" s="1361"/>
      <c r="G37" s="1361"/>
    </row>
    <row r="38" spans="1:7" s="3613" customFormat="1" ht="18" customHeight="1">
      <c r="A38" s="4988" t="s">
        <v>821</v>
      </c>
      <c r="B38" s="4990" t="s">
        <v>373</v>
      </c>
      <c r="C38" s="4991"/>
      <c r="D38" s="4992"/>
      <c r="E38" s="3622">
        <f>SUM(E39)</f>
        <v>1758000</v>
      </c>
      <c r="F38" s="1361"/>
    </row>
    <row r="39" spans="1:7" s="3613" customFormat="1">
      <c r="A39" s="4988"/>
      <c r="B39" s="4993" t="s">
        <v>1091</v>
      </c>
      <c r="C39" s="4995" t="s">
        <v>1425</v>
      </c>
      <c r="D39" s="4995"/>
      <c r="E39" s="3621">
        <f>SUM(E40)</f>
        <v>1758000</v>
      </c>
      <c r="F39" s="1361"/>
      <c r="G39" s="1361"/>
    </row>
    <row r="40" spans="1:7" s="3613" customFormat="1" ht="13.5" thickBot="1">
      <c r="A40" s="4989"/>
      <c r="B40" s="4994"/>
      <c r="C40" s="3620">
        <v>2210</v>
      </c>
      <c r="D40" s="3619"/>
      <c r="E40" s="3618">
        <v>1758000</v>
      </c>
      <c r="F40" s="1361"/>
      <c r="G40" s="1361"/>
    </row>
    <row r="41" spans="1:7" s="3613" customFormat="1" ht="27" customHeight="1" thickBot="1">
      <c r="A41" s="4996" t="s">
        <v>411</v>
      </c>
      <c r="B41" s="4997"/>
      <c r="C41" s="4997"/>
      <c r="D41" s="4998"/>
      <c r="E41" s="3617">
        <f>SUM(E38,E35,E28,E21,E18,E10,E7,E15)</f>
        <v>76934000</v>
      </c>
      <c r="F41" s="1361"/>
    </row>
    <row r="42" spans="1:7" s="3613" customFormat="1">
      <c r="A42" s="1480"/>
      <c r="B42" s="1480"/>
      <c r="C42" s="1344"/>
      <c r="D42" s="1344"/>
      <c r="E42" s="1478"/>
      <c r="F42" s="1361"/>
      <c r="G42" s="1361"/>
    </row>
    <row r="43" spans="1:7" s="3613" customFormat="1">
      <c r="A43" s="1480"/>
      <c r="B43" s="1480"/>
      <c r="C43" s="1344"/>
      <c r="D43" s="1344"/>
      <c r="E43" s="1478"/>
      <c r="F43" s="1361"/>
      <c r="G43" s="1361"/>
    </row>
    <row r="44" spans="1:7" s="3613" customFormat="1">
      <c r="A44" s="1480"/>
      <c r="B44" s="1480"/>
      <c r="C44" s="1344"/>
      <c r="D44" s="1344"/>
      <c r="E44" s="1478"/>
      <c r="F44" s="1361"/>
      <c r="G44" s="1361"/>
    </row>
    <row r="45" spans="1:7" s="3613" customFormat="1" ht="12.75" customHeight="1">
      <c r="A45" s="1480"/>
      <c r="B45" s="1480"/>
      <c r="C45" s="1344"/>
      <c r="D45" s="1344"/>
      <c r="E45" s="1478"/>
      <c r="F45" s="1361"/>
      <c r="G45" s="1361"/>
    </row>
    <row r="46" spans="1:7" s="3613" customFormat="1">
      <c r="A46" s="1480"/>
      <c r="B46" s="1480"/>
      <c r="C46" s="1344"/>
      <c r="D46" s="1344"/>
      <c r="E46" s="1478"/>
      <c r="F46" s="1361"/>
      <c r="G46" s="1361"/>
    </row>
    <row r="47" spans="1:7" s="3613" customFormat="1">
      <c r="A47" s="1480"/>
      <c r="B47" s="1480"/>
      <c r="C47" s="1344"/>
      <c r="D47" s="1344"/>
      <c r="E47" s="1478"/>
      <c r="F47" s="1361"/>
      <c r="G47" s="1361"/>
    </row>
    <row r="48" spans="1:7" s="3613" customFormat="1">
      <c r="A48" s="1480"/>
      <c r="B48" s="1480"/>
      <c r="C48" s="1344"/>
      <c r="D48" s="1344"/>
      <c r="E48" s="1478"/>
      <c r="F48" s="1361"/>
      <c r="G48" s="1361"/>
    </row>
    <row r="49" spans="1:7" s="3613" customFormat="1">
      <c r="A49" s="1480"/>
      <c r="B49" s="1480"/>
      <c r="C49" s="1344"/>
      <c r="D49" s="1344"/>
      <c r="E49" s="1478"/>
      <c r="F49" s="1361"/>
      <c r="G49" s="1361"/>
    </row>
    <row r="50" spans="1:7" s="3613" customFormat="1">
      <c r="A50" s="1480"/>
      <c r="B50" s="1480"/>
      <c r="C50" s="1344"/>
      <c r="D50" s="1344"/>
      <c r="E50" s="1478"/>
      <c r="F50" s="1361"/>
      <c r="G50" s="1361"/>
    </row>
    <row r="51" spans="1:7" s="3613" customFormat="1">
      <c r="A51" s="1480"/>
      <c r="B51" s="1480"/>
      <c r="C51" s="1344"/>
      <c r="D51" s="1344"/>
      <c r="E51" s="1478"/>
      <c r="F51" s="1361"/>
      <c r="G51" s="1361"/>
    </row>
    <row r="52" spans="1:7" s="3613" customFormat="1">
      <c r="A52" s="1480"/>
      <c r="B52" s="1480"/>
      <c r="C52" s="1344"/>
      <c r="D52" s="1344"/>
      <c r="E52" s="1478"/>
      <c r="F52" s="1361"/>
      <c r="G52" s="1361"/>
    </row>
    <row r="53" spans="1:7" s="3613" customFormat="1">
      <c r="A53" s="1344"/>
      <c r="B53" s="1480"/>
      <c r="C53" s="1344"/>
      <c r="D53" s="1344"/>
      <c r="E53" s="1478"/>
      <c r="F53" s="1361"/>
      <c r="G53" s="1361"/>
    </row>
    <row r="54" spans="1:7" s="3613" customFormat="1">
      <c r="A54" s="1344"/>
      <c r="B54" s="1480"/>
      <c r="C54" s="1344"/>
      <c r="D54" s="1344"/>
      <c r="E54" s="1478"/>
      <c r="F54" s="1361"/>
      <c r="G54" s="1361"/>
    </row>
    <row r="55" spans="1:7" s="3613" customFormat="1">
      <c r="A55" s="1344"/>
      <c r="B55" s="1480"/>
      <c r="C55" s="1344"/>
      <c r="D55" s="1344"/>
      <c r="E55" s="1478"/>
      <c r="F55" s="1361"/>
      <c r="G55" s="1361"/>
    </row>
    <row r="56" spans="1:7" s="3613" customFormat="1">
      <c r="A56" s="1344"/>
      <c r="B56" s="1480"/>
      <c r="C56" s="1344"/>
      <c r="D56" s="1344"/>
      <c r="E56" s="1478"/>
      <c r="F56" s="1361"/>
      <c r="G56" s="1361"/>
    </row>
    <row r="57" spans="1:7" s="3613" customFormat="1">
      <c r="A57" s="1344"/>
      <c r="B57" s="1480"/>
      <c r="C57" s="1344"/>
      <c r="D57" s="1344"/>
      <c r="E57" s="1478"/>
      <c r="F57" s="1361"/>
      <c r="G57" s="1361"/>
    </row>
    <row r="58" spans="1:7" s="3613" customFormat="1">
      <c r="A58" s="1344"/>
      <c r="B58" s="1480"/>
      <c r="C58" s="1344"/>
      <c r="D58" s="1344"/>
      <c r="E58" s="1478"/>
      <c r="F58" s="1361"/>
      <c r="G58" s="1361"/>
    </row>
    <row r="59" spans="1:7" s="3613" customFormat="1">
      <c r="A59" s="1344"/>
      <c r="B59" s="1480"/>
      <c r="C59" s="1344"/>
      <c r="D59" s="1344"/>
      <c r="E59" s="1478"/>
      <c r="F59" s="1361"/>
      <c r="G59" s="1361"/>
    </row>
    <row r="60" spans="1:7" s="3613" customFormat="1">
      <c r="A60" s="1344"/>
      <c r="B60" s="1480"/>
      <c r="C60" s="1344"/>
      <c r="D60" s="1344"/>
      <c r="E60" s="1478"/>
      <c r="F60" s="1361"/>
      <c r="G60" s="1361"/>
    </row>
    <row r="61" spans="1:7" s="3613" customFormat="1">
      <c r="A61" s="1344"/>
      <c r="B61" s="1480"/>
      <c r="C61" s="1344"/>
      <c r="D61" s="1344"/>
      <c r="E61" s="1478"/>
      <c r="F61" s="1361"/>
      <c r="G61" s="1361"/>
    </row>
    <row r="62" spans="1:7" s="3613" customFormat="1">
      <c r="A62" s="1344"/>
      <c r="B62" s="1480"/>
      <c r="C62" s="1344"/>
      <c r="D62" s="1344"/>
      <c r="E62" s="1478"/>
      <c r="F62" s="1361"/>
      <c r="G62" s="1361"/>
    </row>
    <row r="63" spans="1:7" s="3613" customFormat="1">
      <c r="A63" s="1344"/>
      <c r="B63" s="1480"/>
      <c r="C63" s="1344"/>
      <c r="D63" s="1344"/>
      <c r="E63" s="1478"/>
      <c r="F63" s="1361"/>
      <c r="G63" s="1361"/>
    </row>
    <row r="64" spans="1:7" s="3613" customFormat="1">
      <c r="A64" s="1344"/>
      <c r="B64" s="1480"/>
      <c r="C64" s="1344"/>
      <c r="D64" s="1344"/>
      <c r="E64" s="1478"/>
      <c r="F64" s="1361"/>
      <c r="G64" s="1361"/>
    </row>
    <row r="65" spans="1:17" s="3613" customFormat="1">
      <c r="A65" s="1344"/>
      <c r="B65" s="1480"/>
      <c r="C65" s="1344"/>
      <c r="D65" s="1344"/>
      <c r="E65" s="1478"/>
      <c r="F65" s="1361"/>
      <c r="G65" s="1361"/>
    </row>
    <row r="66" spans="1:17" s="3613" customFormat="1">
      <c r="A66" s="1344"/>
      <c r="B66" s="1480"/>
      <c r="C66" s="1344"/>
      <c r="D66" s="1344"/>
      <c r="E66" s="1478"/>
      <c r="F66" s="1361"/>
      <c r="G66" s="1361"/>
    </row>
    <row r="67" spans="1:17" s="3613" customFormat="1">
      <c r="A67" s="1361"/>
      <c r="B67" s="1480"/>
      <c r="C67" s="1344"/>
      <c r="D67" s="1344"/>
      <c r="E67" s="1478"/>
      <c r="F67" s="1361"/>
      <c r="G67" s="1361"/>
    </row>
    <row r="68" spans="1:17" s="3613" customFormat="1">
      <c r="A68" s="1361"/>
      <c r="B68" s="1480"/>
      <c r="C68" s="1344"/>
      <c r="D68" s="1344"/>
      <c r="E68" s="1478"/>
      <c r="F68" s="1361"/>
      <c r="G68" s="1361"/>
    </row>
    <row r="69" spans="1:17" s="3613" customFormat="1">
      <c r="A69" s="1361"/>
      <c r="B69" s="3616"/>
      <c r="C69" s="1361"/>
      <c r="D69" s="1361"/>
      <c r="E69" s="3615"/>
      <c r="F69" s="1361"/>
      <c r="G69" s="1361"/>
    </row>
    <row r="70" spans="1:17" s="3613" customFormat="1">
      <c r="A70" s="1361"/>
      <c r="B70" s="3616"/>
      <c r="C70" s="1361"/>
      <c r="D70" s="1361"/>
      <c r="E70" s="3615"/>
      <c r="F70" s="1361"/>
      <c r="G70" s="1361"/>
    </row>
    <row r="71" spans="1:17" s="3613" customFormat="1">
      <c r="A71" s="1361"/>
      <c r="B71" s="3616"/>
      <c r="C71" s="1361"/>
      <c r="D71" s="1361"/>
      <c r="E71" s="3615"/>
      <c r="F71" s="1361"/>
      <c r="G71" s="1361"/>
    </row>
    <row r="72" spans="1:17" s="3613" customFormat="1">
      <c r="A72" s="1361"/>
      <c r="B72" s="3616"/>
      <c r="C72" s="1361"/>
      <c r="D72" s="1361"/>
      <c r="E72" s="3615"/>
      <c r="F72" s="1361"/>
      <c r="G72" s="1361"/>
    </row>
    <row r="73" spans="1:17" s="3613" customFormat="1">
      <c r="A73" s="1361"/>
      <c r="B73" s="3616"/>
      <c r="C73" s="1361"/>
      <c r="D73" s="1361"/>
      <c r="E73" s="3615"/>
      <c r="F73" s="1361"/>
      <c r="G73" s="1361"/>
      <c r="I73" s="1361"/>
      <c r="J73" s="1361"/>
      <c r="K73" s="1361"/>
      <c r="L73" s="1361"/>
      <c r="M73" s="1361"/>
      <c r="N73" s="1361"/>
      <c r="O73" s="1361"/>
      <c r="P73" s="1361"/>
      <c r="Q73" s="1361"/>
    </row>
    <row r="74" spans="1:17" s="3613" customFormat="1">
      <c r="A74" s="1361"/>
      <c r="B74" s="3616"/>
      <c r="C74" s="1361"/>
      <c r="D74" s="1361"/>
      <c r="E74" s="3615"/>
      <c r="F74" s="1361"/>
      <c r="G74" s="1361"/>
      <c r="I74" s="1361"/>
      <c r="J74" s="1361"/>
      <c r="K74" s="1361"/>
      <c r="L74" s="1361"/>
      <c r="M74" s="1361"/>
      <c r="N74" s="1361"/>
      <c r="O74" s="1361"/>
      <c r="P74" s="1361"/>
      <c r="Q74" s="1361"/>
    </row>
    <row r="75" spans="1:17" s="3613" customFormat="1">
      <c r="A75" s="1361"/>
      <c r="B75" s="3616"/>
      <c r="C75" s="1361"/>
      <c r="D75" s="1361"/>
      <c r="E75" s="3615"/>
      <c r="F75" s="1361"/>
      <c r="G75" s="1361"/>
      <c r="I75" s="1361"/>
      <c r="J75" s="1361"/>
      <c r="K75" s="1361"/>
      <c r="L75" s="1361"/>
      <c r="M75" s="1361"/>
      <c r="N75" s="1361"/>
      <c r="O75" s="1361"/>
      <c r="P75" s="1361"/>
      <c r="Q75" s="1361"/>
    </row>
    <row r="76" spans="1:17">
      <c r="B76" s="3616"/>
      <c r="E76" s="3615"/>
    </row>
    <row r="77" spans="1:17">
      <c r="B77" s="3616"/>
      <c r="E77" s="3615"/>
    </row>
    <row r="78" spans="1:17">
      <c r="B78" s="3616"/>
      <c r="E78" s="3615"/>
    </row>
    <row r="79" spans="1:17">
      <c r="B79" s="3616"/>
      <c r="E79" s="3615"/>
    </row>
    <row r="80" spans="1:17">
      <c r="B80" s="3616"/>
      <c r="E80" s="3615"/>
    </row>
    <row r="81" spans="2:5">
      <c r="B81" s="3616"/>
      <c r="E81" s="3615"/>
    </row>
    <row r="82" spans="2:5">
      <c r="B82" s="3616"/>
      <c r="E82" s="3615"/>
    </row>
    <row r="83" spans="2:5">
      <c r="B83" s="3616"/>
      <c r="E83" s="3615"/>
    </row>
    <row r="84" spans="2:5">
      <c r="B84" s="3616"/>
      <c r="E84" s="3615"/>
    </row>
    <row r="85" spans="2:5">
      <c r="E85" s="3615"/>
    </row>
    <row r="86" spans="2:5">
      <c r="E86" s="3615"/>
    </row>
    <row r="137" spans="3:3">
      <c r="C137" s="1361" t="s">
        <v>1424</v>
      </c>
    </row>
    <row r="157" spans="4:4">
      <c r="D157" s="3614">
        <f>115000000+12000000</f>
        <v>127000000</v>
      </c>
    </row>
    <row r="265" spans="4:4">
      <c r="D265" s="3614"/>
    </row>
    <row r="536" spans="17:17">
      <c r="Q536" s="1361">
        <f>P536-O536</f>
        <v>0</v>
      </c>
    </row>
  </sheetData>
  <sheetProtection algorithmName="SHA-512" hashValue="Fj2WFvEdhN6pKDs7lp1NXrmZGPEldUED41DdV81Ak9a2SRT193UqDSbc6K08jF2CNwDMcF5Hx8EBfU9cGa33RA==" saltValue="5bPhyQ1fnbXPlCAERgPBHg==" spinCount="100000" sheet="1" objects="1" scenarios="1"/>
  <mergeCells count="47">
    <mergeCell ref="D1:E1"/>
    <mergeCell ref="A2:E2"/>
    <mergeCell ref="A4:E4"/>
    <mergeCell ref="A5:E5"/>
    <mergeCell ref="A7:A9"/>
    <mergeCell ref="B7:D7"/>
    <mergeCell ref="B8:B9"/>
    <mergeCell ref="C8:D8"/>
    <mergeCell ref="A10:A14"/>
    <mergeCell ref="B10:D10"/>
    <mergeCell ref="B11:B12"/>
    <mergeCell ref="C11:D11"/>
    <mergeCell ref="B13:B14"/>
    <mergeCell ref="C13:D13"/>
    <mergeCell ref="A15:A17"/>
    <mergeCell ref="B15:D15"/>
    <mergeCell ref="B16:B17"/>
    <mergeCell ref="C16:D16"/>
    <mergeCell ref="A18:A20"/>
    <mergeCell ref="B18:D18"/>
    <mergeCell ref="B19:B20"/>
    <mergeCell ref="C19:D19"/>
    <mergeCell ref="A21:A27"/>
    <mergeCell ref="B21:D21"/>
    <mergeCell ref="B22:B23"/>
    <mergeCell ref="C22:D22"/>
    <mergeCell ref="B24:B25"/>
    <mergeCell ref="C24:D24"/>
    <mergeCell ref="B26:B27"/>
    <mergeCell ref="C26:D26"/>
    <mergeCell ref="B35:D35"/>
    <mergeCell ref="B36:B37"/>
    <mergeCell ref="C36:D36"/>
    <mergeCell ref="A28:A34"/>
    <mergeCell ref="B28:D28"/>
    <mergeCell ref="B29:B30"/>
    <mergeCell ref="C29:D29"/>
    <mergeCell ref="B31:B32"/>
    <mergeCell ref="C31:D31"/>
    <mergeCell ref="B33:B34"/>
    <mergeCell ref="C33:D33"/>
    <mergeCell ref="A35:A37"/>
    <mergeCell ref="A38:A40"/>
    <mergeCell ref="B38:D38"/>
    <mergeCell ref="B39:B40"/>
    <mergeCell ref="C39:D39"/>
    <mergeCell ref="A41:D41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101" orientation="portrait" r:id="rId1"/>
  <headerFoot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3EE4-2D6B-4435-8E41-F2E1E5819D0F}">
  <sheetPr>
    <tabColor theme="2" tint="-9.9978637043366805E-2"/>
  </sheetPr>
  <dimension ref="A1:Q538"/>
  <sheetViews>
    <sheetView view="pageBreakPreview" zoomScale="110" zoomScaleNormal="75" zoomScaleSheetLayoutView="110" workbookViewId="0">
      <pane ySplit="5" topLeftCell="A85" activePane="bottomLeft" state="frozen"/>
      <selection activeCell="R6" sqref="R6"/>
      <selection pane="bottomLeft" activeCell="R6" sqref="R6"/>
    </sheetView>
  </sheetViews>
  <sheetFormatPr defaultRowHeight="15.75"/>
  <cols>
    <col min="1" max="1" width="5.5703125" style="3634" bestFit="1" customWidth="1"/>
    <col min="2" max="2" width="8.85546875" style="3633" bestFit="1" customWidth="1"/>
    <col min="3" max="3" width="25.85546875" style="1344" customWidth="1"/>
    <col min="4" max="4" width="8.85546875" style="1344" bestFit="1" customWidth="1"/>
    <col min="5" max="5" width="10.7109375" style="1344" customWidth="1"/>
    <col min="6" max="6" width="11.140625" style="1344" customWidth="1"/>
    <col min="7" max="7" width="13.140625" style="1344" customWidth="1"/>
    <col min="8" max="8" width="11.28515625" style="1344" customWidth="1"/>
    <col min="9" max="9" width="12.28515625" style="1344" customWidth="1"/>
    <col min="10" max="10" width="11.7109375" style="1344" customWidth="1"/>
    <col min="11" max="11" width="12" style="1344" customWidth="1"/>
    <col min="12" max="12" width="10.42578125" style="1344" customWidth="1"/>
    <col min="13" max="13" width="9.7109375" style="1344" customWidth="1"/>
    <col min="14" max="16384" width="9.140625" style="1344"/>
  </cols>
  <sheetData>
    <row r="1" spans="1:13" ht="37.5" customHeight="1">
      <c r="A1" s="4682" t="s">
        <v>1438</v>
      </c>
      <c r="B1" s="4682"/>
      <c r="C1" s="4682"/>
      <c r="D1" s="4682"/>
      <c r="E1" s="4682"/>
      <c r="F1" s="4682"/>
      <c r="G1" s="4682"/>
      <c r="H1" s="4682"/>
      <c r="I1" s="4682"/>
      <c r="J1" s="4682"/>
      <c r="K1" s="4682"/>
      <c r="L1" s="4682"/>
    </row>
    <row r="2" spans="1:13" ht="13.5" thickBot="1">
      <c r="A2" s="5011" t="s">
        <v>1437</v>
      </c>
      <c r="B2" s="5011"/>
      <c r="C2" s="5011"/>
      <c r="D2" s="5011"/>
      <c r="E2" s="5011"/>
      <c r="F2" s="5011"/>
      <c r="G2" s="5011"/>
      <c r="H2" s="5011"/>
      <c r="I2" s="5011"/>
      <c r="J2" s="5011"/>
      <c r="K2" s="5011"/>
      <c r="L2" s="5011"/>
    </row>
    <row r="3" spans="1:13" ht="12.75">
      <c r="A3" s="5041" t="s">
        <v>2</v>
      </c>
      <c r="B3" s="4956" t="s">
        <v>651</v>
      </c>
      <c r="C3" s="4956" t="s">
        <v>853</v>
      </c>
      <c r="D3" s="4975" t="s">
        <v>5</v>
      </c>
      <c r="E3" s="4958" t="s">
        <v>917</v>
      </c>
      <c r="F3" s="4958" t="s">
        <v>916</v>
      </c>
      <c r="G3" s="5047" t="s">
        <v>1436</v>
      </c>
      <c r="H3" s="5048"/>
      <c r="I3" s="5048"/>
      <c r="J3" s="5048"/>
      <c r="K3" s="5049"/>
      <c r="L3" s="4960" t="s">
        <v>915</v>
      </c>
    </row>
    <row r="4" spans="1:13" ht="12.75" customHeight="1">
      <c r="A4" s="5042"/>
      <c r="B4" s="5037"/>
      <c r="C4" s="5037"/>
      <c r="D4" s="5045"/>
      <c r="E4" s="5038"/>
      <c r="F4" s="5038"/>
      <c r="G4" s="5034" t="s">
        <v>1435</v>
      </c>
      <c r="H4" s="5036" t="s">
        <v>412</v>
      </c>
      <c r="I4" s="5037"/>
      <c r="J4" s="5038" t="s">
        <v>1434</v>
      </c>
      <c r="K4" s="5039" t="s">
        <v>1433</v>
      </c>
      <c r="L4" s="5050"/>
    </row>
    <row r="5" spans="1:13" ht="77.25" customHeight="1" thickBot="1">
      <c r="A5" s="5043"/>
      <c r="B5" s="5044"/>
      <c r="C5" s="5044"/>
      <c r="D5" s="5046"/>
      <c r="E5" s="5035"/>
      <c r="F5" s="5035"/>
      <c r="G5" s="5035"/>
      <c r="H5" s="3675" t="s">
        <v>1432</v>
      </c>
      <c r="I5" s="3675" t="s">
        <v>1431</v>
      </c>
      <c r="J5" s="5035"/>
      <c r="K5" s="5040"/>
      <c r="L5" s="5051"/>
    </row>
    <row r="6" spans="1:13" ht="30" customHeight="1">
      <c r="A6" s="5012" t="s">
        <v>21</v>
      </c>
      <c r="B6" s="5033" t="s">
        <v>22</v>
      </c>
      <c r="C6" s="5033"/>
      <c r="D6" s="3674"/>
      <c r="E6" s="3661">
        <f>SUM(E7)</f>
        <v>3629000</v>
      </c>
      <c r="F6" s="3661">
        <f>SUM(F7)</f>
        <v>3629000</v>
      </c>
      <c r="G6" s="3661">
        <f>SUM(H6:I6)</f>
        <v>3629000</v>
      </c>
      <c r="H6" s="3661">
        <f>SUM(H7)</f>
        <v>362000</v>
      </c>
      <c r="I6" s="3661">
        <f>SUM(I7)</f>
        <v>3267000</v>
      </c>
      <c r="J6" s="3661"/>
      <c r="K6" s="3661"/>
      <c r="L6" s="3660"/>
      <c r="M6" s="3630"/>
    </row>
    <row r="7" spans="1:13" ht="27.75" customHeight="1">
      <c r="A7" s="5004"/>
      <c r="B7" s="5017" t="s">
        <v>49</v>
      </c>
      <c r="C7" s="5027" t="s">
        <v>50</v>
      </c>
      <c r="D7" s="3651" t="s">
        <v>1429</v>
      </c>
      <c r="E7" s="3650">
        <f>SUM(F7,L7)</f>
        <v>3629000</v>
      </c>
      <c r="F7" s="3650">
        <f>SUM(G7,J7,K7)</f>
        <v>3629000</v>
      </c>
      <c r="G7" s="3650">
        <f>SUM(H7:I7)</f>
        <v>3629000</v>
      </c>
      <c r="H7" s="3650">
        <f>SUM(H8:H10)</f>
        <v>362000</v>
      </c>
      <c r="I7" s="3650">
        <f>SUM(I8:I11)</f>
        <v>3267000</v>
      </c>
      <c r="J7" s="3650"/>
      <c r="K7" s="3650"/>
      <c r="L7" s="3649"/>
    </row>
    <row r="8" spans="1:13" ht="12.75">
      <c r="A8" s="5004"/>
      <c r="B8" s="5018"/>
      <c r="C8" s="5009"/>
      <c r="D8" s="3648">
        <v>4010</v>
      </c>
      <c r="E8" s="3647">
        <f>SUM(F8,L8)</f>
        <v>302574</v>
      </c>
      <c r="F8" s="3647">
        <f>SUM(G8,J8,K8)</f>
        <v>302574</v>
      </c>
      <c r="G8" s="3647">
        <f>H8+I8</f>
        <v>302574</v>
      </c>
      <c r="H8" s="3647">
        <v>302574</v>
      </c>
      <c r="I8" s="3647"/>
      <c r="J8" s="3647"/>
      <c r="K8" s="3647"/>
      <c r="L8" s="3621"/>
    </row>
    <row r="9" spans="1:13" ht="12.75">
      <c r="A9" s="5004"/>
      <c r="B9" s="5018"/>
      <c r="C9" s="5009"/>
      <c r="D9" s="3648">
        <v>4110</v>
      </c>
      <c r="E9" s="3647">
        <f>SUM(F9,L9)</f>
        <v>52013</v>
      </c>
      <c r="F9" s="3647">
        <f>SUM(G9,J9,K9)</f>
        <v>52013</v>
      </c>
      <c r="G9" s="3647">
        <f>H9+I9</f>
        <v>52013</v>
      </c>
      <c r="H9" s="3647">
        <v>52013</v>
      </c>
      <c r="I9" s="3647"/>
      <c r="J9" s="3647"/>
      <c r="K9" s="3647"/>
      <c r="L9" s="3621"/>
    </row>
    <row r="10" spans="1:13" ht="12.75">
      <c r="A10" s="5004"/>
      <c r="B10" s="5018"/>
      <c r="C10" s="5009"/>
      <c r="D10" s="3648">
        <v>4120</v>
      </c>
      <c r="E10" s="3647">
        <f>SUM(F10,L10)</f>
        <v>7413</v>
      </c>
      <c r="F10" s="3647">
        <f>SUM(G10,J10,K10)</f>
        <v>7413</v>
      </c>
      <c r="G10" s="3647">
        <f>H10+I10</f>
        <v>7413</v>
      </c>
      <c r="H10" s="3647">
        <v>7413</v>
      </c>
      <c r="I10" s="3647"/>
      <c r="J10" s="3647"/>
      <c r="K10" s="3647"/>
      <c r="L10" s="3621"/>
    </row>
    <row r="11" spans="1:13" ht="12.75">
      <c r="A11" s="5005"/>
      <c r="B11" s="5031"/>
      <c r="C11" s="5032"/>
      <c r="D11" s="3648">
        <v>4590</v>
      </c>
      <c r="E11" s="3647">
        <f>SUM(F11,L11)</f>
        <v>3267000</v>
      </c>
      <c r="F11" s="3647">
        <f>SUM(G11,J11,K11)</f>
        <v>3267000</v>
      </c>
      <c r="G11" s="3647">
        <f>H11+I11</f>
        <v>3267000</v>
      </c>
      <c r="H11" s="3647"/>
      <c r="I11" s="3647">
        <v>3267000</v>
      </c>
      <c r="J11" s="3647"/>
      <c r="K11" s="3647"/>
      <c r="L11" s="3621"/>
    </row>
    <row r="12" spans="1:13" ht="30.75" customHeight="1">
      <c r="A12" s="5003" t="s">
        <v>794</v>
      </c>
      <c r="B12" s="5021" t="s">
        <v>82</v>
      </c>
      <c r="C12" s="5021"/>
      <c r="D12" s="3654"/>
      <c r="E12" s="3653">
        <f>F12+L12</f>
        <v>51907000</v>
      </c>
      <c r="F12" s="3653">
        <f>G12+J12+K12</f>
        <v>51907000</v>
      </c>
      <c r="G12" s="3653">
        <f>H12+I12</f>
        <v>303000</v>
      </c>
      <c r="H12" s="3653">
        <f>H13+H18</f>
        <v>130000</v>
      </c>
      <c r="I12" s="3653">
        <f>I13+I18</f>
        <v>173000</v>
      </c>
      <c r="J12" s="3653">
        <f>SUM(J13)</f>
        <v>51604000</v>
      </c>
      <c r="K12" s="3653"/>
      <c r="L12" s="3652"/>
    </row>
    <row r="13" spans="1:13" ht="27.75" customHeight="1">
      <c r="A13" s="5004"/>
      <c r="B13" s="5017" t="s">
        <v>793</v>
      </c>
      <c r="C13" s="5027" t="s">
        <v>103</v>
      </c>
      <c r="D13" s="3651" t="s">
        <v>1429</v>
      </c>
      <c r="E13" s="3650">
        <f>SUM(F13,L13)</f>
        <v>51604000</v>
      </c>
      <c r="F13" s="3650">
        <f t="shared" ref="F13:F56" si="0">SUM(G13,J13,K13)</f>
        <v>51604000</v>
      </c>
      <c r="G13" s="3650"/>
      <c r="H13" s="3650"/>
      <c r="I13" s="3650"/>
      <c r="J13" s="3650">
        <f>SUM(J14:J17)</f>
        <v>51604000</v>
      </c>
      <c r="K13" s="3664"/>
      <c r="L13" s="3663"/>
    </row>
    <row r="14" spans="1:13" ht="12.75">
      <c r="A14" s="5004"/>
      <c r="B14" s="5018"/>
      <c r="C14" s="5009"/>
      <c r="D14" s="3648">
        <v>2310</v>
      </c>
      <c r="E14" s="3647">
        <f>F14+L14</f>
        <v>1300000</v>
      </c>
      <c r="F14" s="3647">
        <f t="shared" si="0"/>
        <v>1300000</v>
      </c>
      <c r="G14" s="3647"/>
      <c r="H14" s="3647"/>
      <c r="I14" s="3647"/>
      <c r="J14" s="3647">
        <v>1300000</v>
      </c>
      <c r="K14" s="3647"/>
      <c r="L14" s="3621"/>
      <c r="M14" s="3630"/>
    </row>
    <row r="15" spans="1:13" ht="12.75">
      <c r="A15" s="5004"/>
      <c r="B15" s="5018"/>
      <c r="C15" s="5009"/>
      <c r="D15" s="3648">
        <v>2320</v>
      </c>
      <c r="E15" s="3647">
        <f>F15+L15</f>
        <v>3000000</v>
      </c>
      <c r="F15" s="3647">
        <f t="shared" si="0"/>
        <v>3000000</v>
      </c>
      <c r="G15" s="3647"/>
      <c r="H15" s="3647"/>
      <c r="I15" s="3647"/>
      <c r="J15" s="3647">
        <v>3000000</v>
      </c>
      <c r="K15" s="3647"/>
      <c r="L15" s="3621"/>
      <c r="M15" s="3630"/>
    </row>
    <row r="16" spans="1:13" ht="12.75">
      <c r="A16" s="5004"/>
      <c r="B16" s="5018"/>
      <c r="C16" s="5009"/>
      <c r="D16" s="3648">
        <v>2630</v>
      </c>
      <c r="E16" s="3647">
        <f>F16+L16</f>
        <v>43604000</v>
      </c>
      <c r="F16" s="3647">
        <f t="shared" si="0"/>
        <v>43604000</v>
      </c>
      <c r="G16" s="3647"/>
      <c r="H16" s="3647"/>
      <c r="I16" s="3647"/>
      <c r="J16" s="3647">
        <v>43604000</v>
      </c>
      <c r="K16" s="3647"/>
      <c r="L16" s="3621"/>
      <c r="M16" s="3630"/>
    </row>
    <row r="17" spans="1:13" ht="12.75">
      <c r="A17" s="5004"/>
      <c r="B17" s="5031"/>
      <c r="C17" s="5032"/>
      <c r="D17" s="3648">
        <v>2800</v>
      </c>
      <c r="E17" s="3647">
        <f>F17+L17</f>
        <v>3700000</v>
      </c>
      <c r="F17" s="3647">
        <f t="shared" si="0"/>
        <v>3700000</v>
      </c>
      <c r="G17" s="3647"/>
      <c r="H17" s="3647"/>
      <c r="I17" s="3647"/>
      <c r="J17" s="3647">
        <v>3700000</v>
      </c>
      <c r="K17" s="3647"/>
      <c r="L17" s="3621"/>
      <c r="M17" s="3630"/>
    </row>
    <row r="18" spans="1:13" ht="27.75" customHeight="1">
      <c r="A18" s="5004"/>
      <c r="B18" s="5017" t="s">
        <v>1382</v>
      </c>
      <c r="C18" s="5027" t="s">
        <v>50</v>
      </c>
      <c r="D18" s="3651" t="s">
        <v>1429</v>
      </c>
      <c r="E18" s="3650">
        <f>SUM(F18,L18)</f>
        <v>303000</v>
      </c>
      <c r="F18" s="3650">
        <f t="shared" si="0"/>
        <v>303000</v>
      </c>
      <c r="G18" s="3650">
        <f t="shared" ref="G18:G45" si="1">SUM(H18:I18)</f>
        <v>303000</v>
      </c>
      <c r="H18" s="3650">
        <f>SUM(H19:H22)</f>
        <v>130000</v>
      </c>
      <c r="I18" s="3650">
        <f>SUM(I19:I22)</f>
        <v>173000</v>
      </c>
      <c r="J18" s="3664"/>
      <c r="K18" s="3664"/>
      <c r="L18" s="3663"/>
    </row>
    <row r="19" spans="1:13" ht="12.75">
      <c r="A19" s="5004"/>
      <c r="B19" s="5018"/>
      <c r="C19" s="5009"/>
      <c r="D19" s="3648">
        <v>4010</v>
      </c>
      <c r="E19" s="3647">
        <f t="shared" ref="E19:E24" si="2">F19+L19</f>
        <v>108660</v>
      </c>
      <c r="F19" s="3647">
        <f t="shared" si="0"/>
        <v>108660</v>
      </c>
      <c r="G19" s="3647">
        <f t="shared" si="1"/>
        <v>108660</v>
      </c>
      <c r="H19" s="3647">
        <v>108660</v>
      </c>
      <c r="I19" s="3647"/>
      <c r="J19" s="3647"/>
      <c r="K19" s="3647"/>
      <c r="L19" s="3621"/>
      <c r="M19" s="3630"/>
    </row>
    <row r="20" spans="1:13" ht="12.75">
      <c r="A20" s="5004"/>
      <c r="B20" s="5018"/>
      <c r="C20" s="5009"/>
      <c r="D20" s="3648">
        <v>4110</v>
      </c>
      <c r="E20" s="3647">
        <f t="shared" si="2"/>
        <v>18678</v>
      </c>
      <c r="F20" s="3647">
        <f t="shared" si="0"/>
        <v>18678</v>
      </c>
      <c r="G20" s="3647">
        <f t="shared" si="1"/>
        <v>18678</v>
      </c>
      <c r="H20" s="3647">
        <v>18678</v>
      </c>
      <c r="I20" s="3647"/>
      <c r="J20" s="3647"/>
      <c r="K20" s="3647"/>
      <c r="L20" s="3621"/>
      <c r="M20" s="3630"/>
    </row>
    <row r="21" spans="1:13" ht="12.75">
      <c r="A21" s="5004"/>
      <c r="B21" s="5018"/>
      <c r="C21" s="5009"/>
      <c r="D21" s="3648">
        <v>4120</v>
      </c>
      <c r="E21" s="3647">
        <f t="shared" si="2"/>
        <v>2662</v>
      </c>
      <c r="F21" s="3647">
        <f t="shared" si="0"/>
        <v>2662</v>
      </c>
      <c r="G21" s="3647">
        <f t="shared" si="1"/>
        <v>2662</v>
      </c>
      <c r="H21" s="3647">
        <v>2662</v>
      </c>
      <c r="I21" s="3647"/>
      <c r="J21" s="3647"/>
      <c r="K21" s="3647"/>
      <c r="L21" s="3621"/>
      <c r="M21" s="3630"/>
    </row>
    <row r="22" spans="1:13" ht="12.75">
      <c r="A22" s="5005"/>
      <c r="B22" s="5031"/>
      <c r="C22" s="5032"/>
      <c r="D22" s="3648">
        <v>4300</v>
      </c>
      <c r="E22" s="3647">
        <f t="shared" si="2"/>
        <v>173000</v>
      </c>
      <c r="F22" s="3647">
        <f t="shared" si="0"/>
        <v>173000</v>
      </c>
      <c r="G22" s="3647">
        <f t="shared" si="1"/>
        <v>173000</v>
      </c>
      <c r="H22" s="3647"/>
      <c r="I22" s="3647">
        <v>173000</v>
      </c>
      <c r="J22" s="3647"/>
      <c r="K22" s="3647"/>
      <c r="L22" s="3621"/>
      <c r="M22" s="3630"/>
    </row>
    <row r="23" spans="1:13" ht="29.25" customHeight="1">
      <c r="A23" s="5003" t="s">
        <v>841</v>
      </c>
      <c r="B23" s="5030" t="s">
        <v>130</v>
      </c>
      <c r="C23" s="5030"/>
      <c r="D23" s="3668"/>
      <c r="E23" s="3653">
        <f t="shared" si="2"/>
        <v>58000</v>
      </c>
      <c r="F23" s="3653">
        <f t="shared" si="0"/>
        <v>58000</v>
      </c>
      <c r="G23" s="3653">
        <f t="shared" si="1"/>
        <v>58000</v>
      </c>
      <c r="H23" s="3653">
        <f>SUM(H24)</f>
        <v>58000</v>
      </c>
      <c r="I23" s="3653"/>
      <c r="J23" s="3653"/>
      <c r="K23" s="3653"/>
      <c r="L23" s="3652"/>
    </row>
    <row r="24" spans="1:13" ht="27" customHeight="1">
      <c r="A24" s="5004"/>
      <c r="B24" s="5017" t="s">
        <v>1380</v>
      </c>
      <c r="C24" s="5027" t="s">
        <v>50</v>
      </c>
      <c r="D24" s="3651" t="s">
        <v>1429</v>
      </c>
      <c r="E24" s="3650">
        <f t="shared" si="2"/>
        <v>58000</v>
      </c>
      <c r="F24" s="3650">
        <f t="shared" si="0"/>
        <v>58000</v>
      </c>
      <c r="G24" s="3650">
        <f t="shared" si="1"/>
        <v>58000</v>
      </c>
      <c r="H24" s="3650">
        <f>SUM(H25:H27)</f>
        <v>58000</v>
      </c>
      <c r="I24" s="3650"/>
      <c r="J24" s="3650"/>
      <c r="K24" s="3650"/>
      <c r="L24" s="3649"/>
    </row>
    <row r="25" spans="1:13" ht="12.75">
      <c r="A25" s="5004"/>
      <c r="B25" s="5018"/>
      <c r="C25" s="5009"/>
      <c r="D25" s="3648">
        <v>4010</v>
      </c>
      <c r="E25" s="3647">
        <f>SUM(F25,L25)</f>
        <v>48480</v>
      </c>
      <c r="F25" s="3647">
        <f t="shared" si="0"/>
        <v>48480</v>
      </c>
      <c r="G25" s="3647">
        <f t="shared" si="1"/>
        <v>48480</v>
      </c>
      <c r="H25" s="3647">
        <v>48480</v>
      </c>
      <c r="I25" s="3647"/>
      <c r="J25" s="3647"/>
      <c r="K25" s="3647"/>
      <c r="L25" s="3621"/>
      <c r="M25" s="3630"/>
    </row>
    <row r="26" spans="1:13" ht="12.75">
      <c r="A26" s="5004"/>
      <c r="B26" s="5018"/>
      <c r="C26" s="5009"/>
      <c r="D26" s="3648">
        <v>4110</v>
      </c>
      <c r="E26" s="3647">
        <f>SUM(F26,L26)</f>
        <v>8333</v>
      </c>
      <c r="F26" s="3647">
        <f t="shared" si="0"/>
        <v>8333</v>
      </c>
      <c r="G26" s="3647">
        <f t="shared" si="1"/>
        <v>8333</v>
      </c>
      <c r="H26" s="3647">
        <v>8333</v>
      </c>
      <c r="I26" s="3647"/>
      <c r="J26" s="3647"/>
      <c r="K26" s="3647"/>
      <c r="L26" s="3621"/>
      <c r="M26" s="3630"/>
    </row>
    <row r="27" spans="1:13" ht="12.75">
      <c r="A27" s="5004"/>
      <c r="B27" s="5018"/>
      <c r="C27" s="5009"/>
      <c r="D27" s="3648">
        <v>4120</v>
      </c>
      <c r="E27" s="3647">
        <f>SUM(F27,L27)</f>
        <v>1187</v>
      </c>
      <c r="F27" s="3647">
        <f t="shared" si="0"/>
        <v>1187</v>
      </c>
      <c r="G27" s="3647">
        <f t="shared" si="1"/>
        <v>1187</v>
      </c>
      <c r="H27" s="3647">
        <v>1187</v>
      </c>
      <c r="I27" s="3647"/>
      <c r="J27" s="3647"/>
      <c r="K27" s="3647"/>
      <c r="L27" s="3621"/>
      <c r="M27" s="3630"/>
    </row>
    <row r="28" spans="1:13" ht="29.25" customHeight="1">
      <c r="A28" s="5003" t="s">
        <v>859</v>
      </c>
      <c r="B28" s="5030" t="s">
        <v>147</v>
      </c>
      <c r="C28" s="5030"/>
      <c r="D28" s="3668"/>
      <c r="E28" s="3653">
        <f>SUM(E29)</f>
        <v>347000</v>
      </c>
      <c r="F28" s="3653">
        <f t="shared" si="0"/>
        <v>347000</v>
      </c>
      <c r="G28" s="3653">
        <f t="shared" si="1"/>
        <v>347000</v>
      </c>
      <c r="H28" s="3653">
        <f>SUM(H29)</f>
        <v>287000</v>
      </c>
      <c r="I28" s="3653">
        <f>SUM(I29)</f>
        <v>60000</v>
      </c>
      <c r="J28" s="3653"/>
      <c r="K28" s="3653"/>
      <c r="L28" s="3652"/>
    </row>
    <row r="29" spans="1:13" ht="27" customHeight="1">
      <c r="A29" s="5004"/>
      <c r="B29" s="5017" t="s">
        <v>1356</v>
      </c>
      <c r="C29" s="5027" t="s">
        <v>1430</v>
      </c>
      <c r="D29" s="3651" t="s">
        <v>1429</v>
      </c>
      <c r="E29" s="3650">
        <f>F29+L29</f>
        <v>347000</v>
      </c>
      <c r="F29" s="3650">
        <f t="shared" si="0"/>
        <v>347000</v>
      </c>
      <c r="G29" s="3650">
        <f t="shared" si="1"/>
        <v>347000</v>
      </c>
      <c r="H29" s="3650">
        <f>SUM(H30:H32)</f>
        <v>287000</v>
      </c>
      <c r="I29" s="3650">
        <f>SUM(I30:I33)</f>
        <v>60000</v>
      </c>
      <c r="J29" s="3650"/>
      <c r="K29" s="3650"/>
      <c r="L29" s="3649"/>
    </row>
    <row r="30" spans="1:13" ht="12.75">
      <c r="A30" s="5004"/>
      <c r="B30" s="5018"/>
      <c r="C30" s="5009"/>
      <c r="D30" s="3648">
        <v>4010</v>
      </c>
      <c r="E30" s="3647">
        <f t="shared" ref="E30:E56" si="3">SUM(F30,L30)</f>
        <v>238410</v>
      </c>
      <c r="F30" s="3647">
        <f t="shared" si="0"/>
        <v>238410</v>
      </c>
      <c r="G30" s="3647">
        <f t="shared" si="1"/>
        <v>238410</v>
      </c>
      <c r="H30" s="3647">
        <v>238410</v>
      </c>
      <c r="I30" s="3647"/>
      <c r="J30" s="3647"/>
      <c r="K30" s="3647"/>
      <c r="L30" s="3621"/>
      <c r="M30" s="3630"/>
    </row>
    <row r="31" spans="1:13" ht="12.75">
      <c r="A31" s="5004"/>
      <c r="B31" s="5018"/>
      <c r="C31" s="5009"/>
      <c r="D31" s="3648">
        <v>4110</v>
      </c>
      <c r="E31" s="3647">
        <f t="shared" si="3"/>
        <v>42740</v>
      </c>
      <c r="F31" s="3647">
        <f t="shared" si="0"/>
        <v>42740</v>
      </c>
      <c r="G31" s="3647">
        <f t="shared" si="1"/>
        <v>42740</v>
      </c>
      <c r="H31" s="3647">
        <v>42740</v>
      </c>
      <c r="I31" s="3647"/>
      <c r="J31" s="3647"/>
      <c r="K31" s="3647"/>
      <c r="L31" s="3621"/>
      <c r="M31" s="3630"/>
    </row>
    <row r="32" spans="1:13" ht="12.75">
      <c r="A32" s="5004"/>
      <c r="B32" s="5018"/>
      <c r="C32" s="5009"/>
      <c r="D32" s="3648">
        <v>4120</v>
      </c>
      <c r="E32" s="3647">
        <f t="shared" si="3"/>
        <v>5850</v>
      </c>
      <c r="F32" s="3647">
        <f t="shared" si="0"/>
        <v>5850</v>
      </c>
      <c r="G32" s="3647">
        <f t="shared" si="1"/>
        <v>5850</v>
      </c>
      <c r="H32" s="3647">
        <v>5850</v>
      </c>
      <c r="I32" s="3647"/>
      <c r="J32" s="3647"/>
      <c r="K32" s="3647"/>
      <c r="L32" s="3621"/>
      <c r="M32" s="3630"/>
    </row>
    <row r="33" spans="1:13" ht="12.75">
      <c r="A33" s="5005"/>
      <c r="B33" s="5031"/>
      <c r="C33" s="5032"/>
      <c r="D33" s="3648">
        <v>4300</v>
      </c>
      <c r="E33" s="3647">
        <f t="shared" si="3"/>
        <v>60000</v>
      </c>
      <c r="F33" s="3647">
        <f t="shared" si="0"/>
        <v>60000</v>
      </c>
      <c r="G33" s="3647">
        <f t="shared" si="1"/>
        <v>60000</v>
      </c>
      <c r="H33" s="3647"/>
      <c r="I33" s="3647">
        <v>60000</v>
      </c>
      <c r="J33" s="3647"/>
      <c r="K33" s="3647"/>
      <c r="L33" s="3621"/>
      <c r="M33" s="3630"/>
    </row>
    <row r="34" spans="1:13" ht="29.25" customHeight="1">
      <c r="A34" s="5003" t="s">
        <v>483</v>
      </c>
      <c r="B34" s="5021" t="s">
        <v>177</v>
      </c>
      <c r="C34" s="5021"/>
      <c r="D34" s="3673"/>
      <c r="E34" s="3653">
        <f t="shared" si="3"/>
        <v>550000</v>
      </c>
      <c r="F34" s="3653">
        <f t="shared" si="0"/>
        <v>550000</v>
      </c>
      <c r="G34" s="3653">
        <f t="shared" si="1"/>
        <v>543000</v>
      </c>
      <c r="H34" s="3653">
        <f>SUM(H35,H39,H45)</f>
        <v>467270</v>
      </c>
      <c r="I34" s="3653">
        <f>SUM(I35,I39,I45)</f>
        <v>75730</v>
      </c>
      <c r="J34" s="3653"/>
      <c r="K34" s="3653">
        <f>SUM(K35,K39,K45)</f>
        <v>7000</v>
      </c>
      <c r="L34" s="3652"/>
    </row>
    <row r="35" spans="1:13" s="3655" customFormat="1" ht="23.25" customHeight="1">
      <c r="A35" s="5004"/>
      <c r="B35" s="5017" t="s">
        <v>1338</v>
      </c>
      <c r="C35" s="5027" t="s">
        <v>178</v>
      </c>
      <c r="D35" s="3651" t="s">
        <v>1429</v>
      </c>
      <c r="E35" s="3650">
        <f t="shared" si="3"/>
        <v>276000</v>
      </c>
      <c r="F35" s="3650">
        <f t="shared" si="0"/>
        <v>276000</v>
      </c>
      <c r="G35" s="3650">
        <f t="shared" si="1"/>
        <v>276000</v>
      </c>
      <c r="H35" s="3650">
        <f>SUM(H36:H38)</f>
        <v>276000</v>
      </c>
      <c r="I35" s="3650"/>
      <c r="J35" s="3650"/>
      <c r="K35" s="3650"/>
      <c r="L35" s="3649"/>
      <c r="M35" s="3656"/>
    </row>
    <row r="36" spans="1:13" s="3655" customFormat="1" ht="12.75">
      <c r="A36" s="5004"/>
      <c r="B36" s="5018"/>
      <c r="C36" s="5009"/>
      <c r="D36" s="3648">
        <v>4010</v>
      </c>
      <c r="E36" s="3647">
        <f t="shared" si="3"/>
        <v>230694</v>
      </c>
      <c r="F36" s="3647">
        <f t="shared" si="0"/>
        <v>230694</v>
      </c>
      <c r="G36" s="3647">
        <f t="shared" si="1"/>
        <v>230694</v>
      </c>
      <c r="H36" s="3647">
        <v>230694</v>
      </c>
      <c r="I36" s="3647"/>
      <c r="J36" s="3647"/>
      <c r="K36" s="3647"/>
      <c r="L36" s="3621"/>
    </row>
    <row r="37" spans="1:13" s="3655" customFormat="1" ht="12.75">
      <c r="A37" s="5004"/>
      <c r="B37" s="5018"/>
      <c r="C37" s="5009"/>
      <c r="D37" s="3648">
        <v>4110</v>
      </c>
      <c r="E37" s="3647">
        <f t="shared" si="3"/>
        <v>39655</v>
      </c>
      <c r="F37" s="3647">
        <f t="shared" si="0"/>
        <v>39655</v>
      </c>
      <c r="G37" s="3647">
        <f t="shared" si="1"/>
        <v>39655</v>
      </c>
      <c r="H37" s="3647">
        <v>39655</v>
      </c>
      <c r="I37" s="3647"/>
      <c r="J37" s="3647"/>
      <c r="K37" s="3647"/>
      <c r="L37" s="3621"/>
      <c r="M37" s="3656"/>
    </row>
    <row r="38" spans="1:13" s="3655" customFormat="1" ht="12.75">
      <c r="A38" s="5004"/>
      <c r="B38" s="5031"/>
      <c r="C38" s="5032"/>
      <c r="D38" s="3648">
        <v>4120</v>
      </c>
      <c r="E38" s="3647">
        <f t="shared" si="3"/>
        <v>5651</v>
      </c>
      <c r="F38" s="3647">
        <f t="shared" si="0"/>
        <v>5651</v>
      </c>
      <c r="G38" s="3647">
        <f t="shared" si="1"/>
        <v>5651</v>
      </c>
      <c r="H38" s="3647">
        <v>5651</v>
      </c>
      <c r="I38" s="3647"/>
      <c r="J38" s="3647"/>
      <c r="K38" s="3647"/>
      <c r="L38" s="3621"/>
    </row>
    <row r="39" spans="1:13" ht="24" customHeight="1">
      <c r="A39" s="5004"/>
      <c r="B39" s="5017" t="s">
        <v>1319</v>
      </c>
      <c r="C39" s="5027" t="s">
        <v>187</v>
      </c>
      <c r="D39" s="3651" t="s">
        <v>1429</v>
      </c>
      <c r="E39" s="3650">
        <f t="shared" si="3"/>
        <v>20000</v>
      </c>
      <c r="F39" s="3650">
        <f t="shared" si="0"/>
        <v>20000</v>
      </c>
      <c r="G39" s="3650">
        <f t="shared" si="1"/>
        <v>20000</v>
      </c>
      <c r="H39" s="3650">
        <f>SUM(H40:H44)</f>
        <v>11270</v>
      </c>
      <c r="I39" s="3650">
        <f>SUM(I40:I44)</f>
        <v>8730</v>
      </c>
      <c r="J39" s="3664"/>
      <c r="K39" s="3664"/>
      <c r="L39" s="3663"/>
    </row>
    <row r="40" spans="1:13" ht="12.75">
      <c r="A40" s="5004"/>
      <c r="B40" s="5018"/>
      <c r="C40" s="5009"/>
      <c r="D40" s="3648">
        <v>4110</v>
      </c>
      <c r="E40" s="3647">
        <f t="shared" si="3"/>
        <v>700</v>
      </c>
      <c r="F40" s="3647">
        <f t="shared" si="0"/>
        <v>700</v>
      </c>
      <c r="G40" s="3647">
        <f t="shared" si="1"/>
        <v>700</v>
      </c>
      <c r="H40" s="3647">
        <v>700</v>
      </c>
      <c r="I40" s="3647"/>
      <c r="J40" s="3672"/>
      <c r="K40" s="3672"/>
      <c r="L40" s="3671"/>
    </row>
    <row r="41" spans="1:13" ht="12.75">
      <c r="A41" s="5004"/>
      <c r="B41" s="5018"/>
      <c r="C41" s="5009"/>
      <c r="D41" s="3648">
        <v>4120</v>
      </c>
      <c r="E41" s="3647">
        <f t="shared" si="3"/>
        <v>140</v>
      </c>
      <c r="F41" s="3647">
        <f t="shared" si="0"/>
        <v>140</v>
      </c>
      <c r="G41" s="3647">
        <f t="shared" si="1"/>
        <v>140</v>
      </c>
      <c r="H41" s="3647">
        <v>140</v>
      </c>
      <c r="I41" s="3647"/>
      <c r="J41" s="3672"/>
      <c r="K41" s="3672"/>
      <c r="L41" s="3671"/>
    </row>
    <row r="42" spans="1:13" ht="12.75">
      <c r="A42" s="5004"/>
      <c r="B42" s="5018"/>
      <c r="C42" s="5009"/>
      <c r="D42" s="3648">
        <v>4170</v>
      </c>
      <c r="E42" s="3647">
        <f t="shared" si="3"/>
        <v>10430</v>
      </c>
      <c r="F42" s="3647">
        <f t="shared" si="0"/>
        <v>10430</v>
      </c>
      <c r="G42" s="3647">
        <f t="shared" si="1"/>
        <v>10430</v>
      </c>
      <c r="H42" s="3647">
        <v>10430</v>
      </c>
      <c r="I42" s="3647"/>
      <c r="J42" s="3672"/>
      <c r="K42" s="3672"/>
      <c r="L42" s="3671"/>
      <c r="M42" s="3630"/>
    </row>
    <row r="43" spans="1:13" ht="12.75">
      <c r="A43" s="5004"/>
      <c r="B43" s="5018"/>
      <c r="C43" s="5009"/>
      <c r="D43" s="3648">
        <v>4210</v>
      </c>
      <c r="E43" s="3647">
        <f t="shared" si="3"/>
        <v>3500</v>
      </c>
      <c r="F43" s="3647">
        <f t="shared" si="0"/>
        <v>3500</v>
      </c>
      <c r="G43" s="3647">
        <f t="shared" si="1"/>
        <v>3500</v>
      </c>
      <c r="H43" s="3647"/>
      <c r="I43" s="3647">
        <v>3500</v>
      </c>
      <c r="J43" s="3672"/>
      <c r="K43" s="3672"/>
      <c r="L43" s="3671"/>
    </row>
    <row r="44" spans="1:13" ht="12.75">
      <c r="A44" s="5004"/>
      <c r="B44" s="5031"/>
      <c r="C44" s="5032"/>
      <c r="D44" s="3648">
        <v>4300</v>
      </c>
      <c r="E44" s="3647">
        <f t="shared" si="3"/>
        <v>5230</v>
      </c>
      <c r="F44" s="3647">
        <f t="shared" si="0"/>
        <v>5230</v>
      </c>
      <c r="G44" s="3647">
        <f t="shared" si="1"/>
        <v>5230</v>
      </c>
      <c r="H44" s="3647"/>
      <c r="I44" s="3647">
        <v>5230</v>
      </c>
      <c r="J44" s="3672"/>
      <c r="K44" s="3672"/>
      <c r="L44" s="3671"/>
      <c r="M44" s="3630"/>
    </row>
    <row r="45" spans="1:13" s="3655" customFormat="1" ht="23.25" customHeight="1">
      <c r="A45" s="5004"/>
      <c r="B45" s="5017" t="s">
        <v>1310</v>
      </c>
      <c r="C45" s="5027" t="s">
        <v>193</v>
      </c>
      <c r="D45" s="3651" t="s">
        <v>1429</v>
      </c>
      <c r="E45" s="3650">
        <f t="shared" si="3"/>
        <v>254000</v>
      </c>
      <c r="F45" s="3650">
        <f t="shared" si="0"/>
        <v>254000</v>
      </c>
      <c r="G45" s="3650">
        <f t="shared" si="1"/>
        <v>247000</v>
      </c>
      <c r="H45" s="3650">
        <f>SUM(H47:H56)</f>
        <v>180000</v>
      </c>
      <c r="I45" s="3650">
        <f>SUM(I47:I56)</f>
        <v>67000</v>
      </c>
      <c r="J45" s="3650"/>
      <c r="K45" s="3650">
        <f>SUM(K46:K56)</f>
        <v>7000</v>
      </c>
      <c r="L45" s="3649"/>
      <c r="M45" s="3656"/>
    </row>
    <row r="46" spans="1:13" s="3669" customFormat="1" ht="12.75">
      <c r="A46" s="5004"/>
      <c r="B46" s="5018"/>
      <c r="C46" s="5009"/>
      <c r="D46" s="3648">
        <v>3030</v>
      </c>
      <c r="E46" s="3647">
        <f t="shared" si="3"/>
        <v>7000</v>
      </c>
      <c r="F46" s="3647">
        <f t="shared" si="0"/>
        <v>7000</v>
      </c>
      <c r="G46" s="3647"/>
      <c r="H46" s="3647"/>
      <c r="I46" s="3647"/>
      <c r="J46" s="3647"/>
      <c r="K46" s="3647">
        <v>7000</v>
      </c>
      <c r="L46" s="3621"/>
      <c r="M46" s="3670"/>
    </row>
    <row r="47" spans="1:13" s="3655" customFormat="1" ht="12.75">
      <c r="A47" s="5004"/>
      <c r="B47" s="5018"/>
      <c r="C47" s="5009"/>
      <c r="D47" s="3648">
        <v>4010</v>
      </c>
      <c r="E47" s="3647">
        <f t="shared" si="3"/>
        <v>148780</v>
      </c>
      <c r="F47" s="3647">
        <f t="shared" si="0"/>
        <v>148780</v>
      </c>
      <c r="G47" s="3647">
        <f t="shared" ref="G47:G57" si="4">SUM(H47:I47)</f>
        <v>148780</v>
      </c>
      <c r="H47" s="3647">
        <v>148780</v>
      </c>
      <c r="I47" s="3647"/>
      <c r="J47" s="3647"/>
      <c r="K47" s="3647"/>
      <c r="L47" s="3621"/>
    </row>
    <row r="48" spans="1:13" s="3655" customFormat="1" ht="12.75">
      <c r="A48" s="5004"/>
      <c r="B48" s="5018"/>
      <c r="C48" s="5009"/>
      <c r="D48" s="3648">
        <v>4110</v>
      </c>
      <c r="E48" s="3647">
        <f t="shared" si="3"/>
        <v>25575</v>
      </c>
      <c r="F48" s="3647">
        <f t="shared" si="0"/>
        <v>25575</v>
      </c>
      <c r="G48" s="3647">
        <f t="shared" si="4"/>
        <v>25575</v>
      </c>
      <c r="H48" s="3647">
        <v>25575</v>
      </c>
      <c r="I48" s="3647"/>
      <c r="J48" s="3647"/>
      <c r="K48" s="3647"/>
      <c r="L48" s="3621"/>
    </row>
    <row r="49" spans="1:13" s="3655" customFormat="1" ht="12.75">
      <c r="A49" s="5004"/>
      <c r="B49" s="5018"/>
      <c r="C49" s="5009"/>
      <c r="D49" s="3648">
        <v>4120</v>
      </c>
      <c r="E49" s="3647">
        <f t="shared" si="3"/>
        <v>3645</v>
      </c>
      <c r="F49" s="3647">
        <f t="shared" si="0"/>
        <v>3645</v>
      </c>
      <c r="G49" s="3647">
        <f t="shared" si="4"/>
        <v>3645</v>
      </c>
      <c r="H49" s="3647">
        <v>3645</v>
      </c>
      <c r="I49" s="3647"/>
      <c r="J49" s="3647"/>
      <c r="K49" s="3647"/>
      <c r="L49" s="3621"/>
    </row>
    <row r="50" spans="1:13" s="3655" customFormat="1" ht="12.75">
      <c r="A50" s="5004"/>
      <c r="B50" s="5018"/>
      <c r="C50" s="5009"/>
      <c r="D50" s="3648">
        <v>4170</v>
      </c>
      <c r="E50" s="3647">
        <f t="shared" si="3"/>
        <v>2000</v>
      </c>
      <c r="F50" s="3647">
        <f t="shared" si="0"/>
        <v>2000</v>
      </c>
      <c r="G50" s="3647">
        <f t="shared" si="4"/>
        <v>2000</v>
      </c>
      <c r="H50" s="3647">
        <v>2000</v>
      </c>
      <c r="I50" s="3647"/>
      <c r="J50" s="3647"/>
      <c r="K50" s="3647"/>
      <c r="L50" s="3621"/>
    </row>
    <row r="51" spans="1:13" s="3655" customFormat="1" ht="12.75">
      <c r="A51" s="5004"/>
      <c r="B51" s="5018"/>
      <c r="C51" s="5009"/>
      <c r="D51" s="3648">
        <v>4210</v>
      </c>
      <c r="E51" s="3647">
        <f t="shared" si="3"/>
        <v>30000</v>
      </c>
      <c r="F51" s="3647">
        <f t="shared" si="0"/>
        <v>30000</v>
      </c>
      <c r="G51" s="3647">
        <f t="shared" si="4"/>
        <v>30000</v>
      </c>
      <c r="H51" s="3647"/>
      <c r="I51" s="3647">
        <v>30000</v>
      </c>
      <c r="J51" s="3647"/>
      <c r="K51" s="3647"/>
      <c r="L51" s="3621"/>
    </row>
    <row r="52" spans="1:13" s="3655" customFormat="1" ht="12.75">
      <c r="A52" s="5004"/>
      <c r="B52" s="5018"/>
      <c r="C52" s="5009"/>
      <c r="D52" s="3648">
        <v>4220</v>
      </c>
      <c r="E52" s="3647">
        <f t="shared" si="3"/>
        <v>1000</v>
      </c>
      <c r="F52" s="3647">
        <f t="shared" si="0"/>
        <v>1000</v>
      </c>
      <c r="G52" s="3647">
        <f t="shared" si="4"/>
        <v>1000</v>
      </c>
      <c r="H52" s="3647"/>
      <c r="I52" s="3647">
        <v>1000</v>
      </c>
      <c r="J52" s="3647"/>
      <c r="K52" s="3647"/>
      <c r="L52" s="3621"/>
    </row>
    <row r="53" spans="1:13" s="3655" customFormat="1" ht="12.75">
      <c r="A53" s="5004"/>
      <c r="B53" s="5018"/>
      <c r="C53" s="5009"/>
      <c r="D53" s="3648">
        <v>4300</v>
      </c>
      <c r="E53" s="3647">
        <f t="shared" si="3"/>
        <v>30000</v>
      </c>
      <c r="F53" s="3647">
        <f t="shared" si="0"/>
        <v>30000</v>
      </c>
      <c r="G53" s="3647">
        <f t="shared" si="4"/>
        <v>30000</v>
      </c>
      <c r="H53" s="3647"/>
      <c r="I53" s="3647">
        <v>30000</v>
      </c>
      <c r="J53" s="3647"/>
      <c r="K53" s="3647"/>
      <c r="L53" s="3621"/>
    </row>
    <row r="54" spans="1:13" s="3655" customFormat="1" ht="12.75">
      <c r="A54" s="5004"/>
      <c r="B54" s="5018"/>
      <c r="C54" s="5009"/>
      <c r="D54" s="3648">
        <v>4390</v>
      </c>
      <c r="E54" s="3647">
        <f t="shared" si="3"/>
        <v>2000</v>
      </c>
      <c r="F54" s="3647">
        <f t="shared" si="0"/>
        <v>2000</v>
      </c>
      <c r="G54" s="3647">
        <f t="shared" si="4"/>
        <v>2000</v>
      </c>
      <c r="H54" s="3647"/>
      <c r="I54" s="3647">
        <v>2000</v>
      </c>
      <c r="J54" s="3647"/>
      <c r="K54" s="3647"/>
      <c r="L54" s="3621"/>
    </row>
    <row r="55" spans="1:13" s="3655" customFormat="1" ht="12.75">
      <c r="A55" s="5004"/>
      <c r="B55" s="5018"/>
      <c r="C55" s="5009"/>
      <c r="D55" s="3648">
        <v>4410</v>
      </c>
      <c r="E55" s="3647">
        <f t="shared" si="3"/>
        <v>2000</v>
      </c>
      <c r="F55" s="3647">
        <f t="shared" si="0"/>
        <v>2000</v>
      </c>
      <c r="G55" s="3647">
        <f t="shared" si="4"/>
        <v>2000</v>
      </c>
      <c r="H55" s="3647"/>
      <c r="I55" s="3647">
        <v>2000</v>
      </c>
      <c r="J55" s="3647"/>
      <c r="K55" s="3647"/>
      <c r="L55" s="3621"/>
      <c r="M55" s="3656"/>
    </row>
    <row r="56" spans="1:13" s="3655" customFormat="1" ht="12.75">
      <c r="A56" s="5005"/>
      <c r="B56" s="5031"/>
      <c r="C56" s="5032"/>
      <c r="D56" s="3648">
        <v>4700</v>
      </c>
      <c r="E56" s="3647">
        <f t="shared" si="3"/>
        <v>2000</v>
      </c>
      <c r="F56" s="3647">
        <f t="shared" si="0"/>
        <v>2000</v>
      </c>
      <c r="G56" s="3647">
        <f t="shared" si="4"/>
        <v>2000</v>
      </c>
      <c r="H56" s="3647"/>
      <c r="I56" s="3647">
        <v>2000</v>
      </c>
      <c r="J56" s="3647"/>
      <c r="K56" s="3647"/>
      <c r="L56" s="3621"/>
    </row>
    <row r="57" spans="1:13" ht="30.75" customHeight="1">
      <c r="A57" s="5003" t="s">
        <v>835</v>
      </c>
      <c r="B57" s="5030" t="s">
        <v>1426</v>
      </c>
      <c r="C57" s="5030"/>
      <c r="D57" s="3668"/>
      <c r="E57" s="3653">
        <f>SUM(E58:E61)</f>
        <v>18684000</v>
      </c>
      <c r="F57" s="3653">
        <f>SUM(F59:F61)</f>
        <v>18534000</v>
      </c>
      <c r="G57" s="3653">
        <f t="shared" si="4"/>
        <v>18534000</v>
      </c>
      <c r="H57" s="3653">
        <f>SUM(H58:H61)</f>
        <v>27200</v>
      </c>
      <c r="I57" s="3653">
        <f>SUM(I58:I61)</f>
        <v>18506800</v>
      </c>
      <c r="J57" s="3653"/>
      <c r="K57" s="3653"/>
      <c r="L57" s="3652">
        <f>SUM(L58:L61)</f>
        <v>150000</v>
      </c>
    </row>
    <row r="58" spans="1:13" ht="27.75" customHeight="1">
      <c r="A58" s="5004"/>
      <c r="B58" s="3666" t="s">
        <v>1178</v>
      </c>
      <c r="C58" s="3665" t="s">
        <v>312</v>
      </c>
      <c r="D58" s="3651">
        <v>6220</v>
      </c>
      <c r="E58" s="3650">
        <f t="shared" ref="E58:E67" si="5">SUM(F58,L58)</f>
        <v>150000</v>
      </c>
      <c r="F58" s="3650"/>
      <c r="G58" s="3650"/>
      <c r="H58" s="3650"/>
      <c r="I58" s="3650"/>
      <c r="J58" s="3664"/>
      <c r="K58" s="3664"/>
      <c r="L58" s="3649">
        <v>150000</v>
      </c>
    </row>
    <row r="59" spans="1:13" ht="84.75" hidden="1" customHeight="1">
      <c r="A59" s="5004"/>
      <c r="B59" s="3667" t="s">
        <v>1172</v>
      </c>
      <c r="C59" s="3651" t="s">
        <v>320</v>
      </c>
      <c r="D59" s="3651">
        <v>4130</v>
      </c>
      <c r="E59" s="3650">
        <f t="shared" si="5"/>
        <v>0</v>
      </c>
      <c r="F59" s="3650">
        <f>SUM(G59,J59,K59)</f>
        <v>0</v>
      </c>
      <c r="G59" s="3650">
        <f t="shared" ref="G59:G65" si="6">SUM(H59:I59)</f>
        <v>0</v>
      </c>
      <c r="H59" s="3650"/>
      <c r="I59" s="3650"/>
      <c r="J59" s="3650"/>
      <c r="K59" s="3650"/>
      <c r="L59" s="3649"/>
    </row>
    <row r="60" spans="1:13" ht="27.75" customHeight="1">
      <c r="A60" s="5004"/>
      <c r="B60" s="3666" t="s">
        <v>1169</v>
      </c>
      <c r="C60" s="3665" t="s">
        <v>1168</v>
      </c>
      <c r="D60" s="3651">
        <v>4320</v>
      </c>
      <c r="E60" s="3650">
        <f t="shared" si="5"/>
        <v>18504000</v>
      </c>
      <c r="F60" s="3650">
        <f>SUM(G60,J60,K60)</f>
        <v>18504000</v>
      </c>
      <c r="G60" s="3650">
        <f t="shared" si="6"/>
        <v>18504000</v>
      </c>
      <c r="H60" s="3650"/>
      <c r="I60" s="3650">
        <v>18504000</v>
      </c>
      <c r="J60" s="3664"/>
      <c r="K60" s="3664"/>
      <c r="L60" s="3663"/>
    </row>
    <row r="61" spans="1:13" ht="24" customHeight="1">
      <c r="A61" s="5004"/>
      <c r="B61" s="5017" t="s">
        <v>603</v>
      </c>
      <c r="C61" s="5027" t="s">
        <v>50</v>
      </c>
      <c r="D61" s="3651" t="s">
        <v>1429</v>
      </c>
      <c r="E61" s="3650">
        <f t="shared" si="5"/>
        <v>30000</v>
      </c>
      <c r="F61" s="3650">
        <f>SUM(G61,J61,K61)</f>
        <v>30000</v>
      </c>
      <c r="G61" s="3650">
        <f t="shared" si="6"/>
        <v>30000</v>
      </c>
      <c r="H61" s="3650">
        <f>SUM(H62:H63)</f>
        <v>27200</v>
      </c>
      <c r="I61" s="3650">
        <f>SUM(I62:I63)</f>
        <v>2800</v>
      </c>
      <c r="J61" s="3664"/>
      <c r="K61" s="3664"/>
      <c r="L61" s="3663"/>
    </row>
    <row r="62" spans="1:13" ht="12.75">
      <c r="A62" s="5004"/>
      <c r="B62" s="5018"/>
      <c r="C62" s="5009"/>
      <c r="D62" s="3648">
        <v>4170</v>
      </c>
      <c r="E62" s="3647">
        <f t="shared" si="5"/>
        <v>27200</v>
      </c>
      <c r="F62" s="3647">
        <f>SUM(G62,J62,K62)</f>
        <v>27200</v>
      </c>
      <c r="G62" s="3647">
        <f t="shared" si="6"/>
        <v>27200</v>
      </c>
      <c r="H62" s="3647">
        <v>27200</v>
      </c>
      <c r="I62" s="3647"/>
      <c r="J62" s="3647"/>
      <c r="K62" s="3647"/>
      <c r="L62" s="3621"/>
    </row>
    <row r="63" spans="1:13" ht="12.75">
      <c r="A63" s="5005"/>
      <c r="B63" s="5031"/>
      <c r="C63" s="5032"/>
      <c r="D63" s="3648">
        <v>4300</v>
      </c>
      <c r="E63" s="3647">
        <f t="shared" si="5"/>
        <v>2800</v>
      </c>
      <c r="F63" s="3647">
        <f>SUM(G63,J63,K63)</f>
        <v>2800</v>
      </c>
      <c r="G63" s="3647">
        <f t="shared" si="6"/>
        <v>2800</v>
      </c>
      <c r="H63" s="3647"/>
      <c r="I63" s="3647">
        <v>2800</v>
      </c>
      <c r="J63" s="3647"/>
      <c r="K63" s="3647"/>
      <c r="L63" s="3621"/>
    </row>
    <row r="64" spans="1:13" ht="32.25" customHeight="1">
      <c r="A64" s="5003" t="s">
        <v>824</v>
      </c>
      <c r="B64" s="5016" t="s">
        <v>350</v>
      </c>
      <c r="C64" s="5016"/>
      <c r="D64" s="3662"/>
      <c r="E64" s="3661">
        <f t="shared" si="5"/>
        <v>1000</v>
      </c>
      <c r="F64" s="3661">
        <f>SUM(F65)</f>
        <v>1000</v>
      </c>
      <c r="G64" s="3661">
        <f t="shared" si="6"/>
        <v>620</v>
      </c>
      <c r="H64" s="3661">
        <f>SUM(H65)</f>
        <v>620</v>
      </c>
      <c r="I64" s="3661"/>
      <c r="J64" s="3661"/>
      <c r="K64" s="3661">
        <f>SUM(K65)</f>
        <v>380</v>
      </c>
      <c r="L64" s="3660"/>
    </row>
    <row r="65" spans="1:13" s="3655" customFormat="1" ht="30.75" customHeight="1">
      <c r="A65" s="5004"/>
      <c r="B65" s="5017" t="s">
        <v>502</v>
      </c>
      <c r="C65" s="5019" t="s">
        <v>1124</v>
      </c>
      <c r="D65" s="3659" t="s">
        <v>1429</v>
      </c>
      <c r="E65" s="3650">
        <f t="shared" si="5"/>
        <v>1000</v>
      </c>
      <c r="F65" s="3650">
        <f>SUM(G65,J65,K65)</f>
        <v>1000</v>
      </c>
      <c r="G65" s="3650">
        <f t="shared" si="6"/>
        <v>620</v>
      </c>
      <c r="H65" s="3650">
        <f>SUM(H66:H68)</f>
        <v>620</v>
      </c>
      <c r="I65" s="3650"/>
      <c r="J65" s="3650"/>
      <c r="K65" s="3650">
        <f>SUM(K66:K68)</f>
        <v>380</v>
      </c>
      <c r="L65" s="3649"/>
    </row>
    <row r="66" spans="1:13" s="3655" customFormat="1" ht="12.75">
      <c r="A66" s="5004"/>
      <c r="B66" s="5018"/>
      <c r="C66" s="5020"/>
      <c r="D66" s="3658">
        <v>3030</v>
      </c>
      <c r="E66" s="3647">
        <f t="shared" si="5"/>
        <v>380</v>
      </c>
      <c r="F66" s="3647">
        <f>SUM(G66,J66,K66)</f>
        <v>380</v>
      </c>
      <c r="G66" s="3647"/>
      <c r="H66" s="3647"/>
      <c r="I66" s="3647"/>
      <c r="J66" s="3647"/>
      <c r="K66" s="3647">
        <v>380</v>
      </c>
      <c r="L66" s="3621"/>
    </row>
    <row r="67" spans="1:13" s="3655" customFormat="1" ht="12.75">
      <c r="A67" s="5004"/>
      <c r="B67" s="5018"/>
      <c r="C67" s="5020"/>
      <c r="D67" s="3658">
        <v>4170</v>
      </c>
      <c r="E67" s="3647">
        <f t="shared" si="5"/>
        <v>620</v>
      </c>
      <c r="F67" s="3647">
        <f>SUM(G67,J67,K67)</f>
        <v>620</v>
      </c>
      <c r="G67" s="3647">
        <f>SUM(H67:I67)</f>
        <v>620</v>
      </c>
      <c r="H67" s="3647">
        <v>620</v>
      </c>
      <c r="I67" s="3647"/>
      <c r="J67" s="3647"/>
      <c r="K67" s="3647"/>
      <c r="L67" s="3621"/>
    </row>
    <row r="68" spans="1:13" s="3655" customFormat="1" ht="12.75" hidden="1">
      <c r="A68" s="5004"/>
      <c r="B68" s="5018"/>
      <c r="C68" s="5020"/>
      <c r="D68" s="3657">
        <v>4210</v>
      </c>
      <c r="E68" s="3643"/>
      <c r="F68" s="3643"/>
      <c r="G68" s="3643"/>
      <c r="H68" s="3643"/>
      <c r="I68" s="3643"/>
      <c r="J68" s="3643"/>
      <c r="K68" s="3643"/>
      <c r="L68" s="3645"/>
      <c r="M68" s="3656"/>
    </row>
    <row r="69" spans="1:13" ht="25.5" customHeight="1">
      <c r="A69" s="5003" t="s">
        <v>821</v>
      </c>
      <c r="B69" s="5021" t="s">
        <v>373</v>
      </c>
      <c r="C69" s="5021"/>
      <c r="D69" s="3654"/>
      <c r="E69" s="3653">
        <f t="shared" ref="E69:E91" si="7">SUM(F69,L69)</f>
        <v>1758000</v>
      </c>
      <c r="F69" s="3653">
        <f t="shared" ref="F69:F91" si="8">SUM(G69,J69,K69)</f>
        <v>1758000</v>
      </c>
      <c r="G69" s="3653">
        <f>SUM(H69:I69)</f>
        <v>1750945</v>
      </c>
      <c r="H69" s="3653">
        <f>SUM(H70)</f>
        <v>1433568</v>
      </c>
      <c r="I69" s="3653">
        <f>SUM(I70)</f>
        <v>317377</v>
      </c>
      <c r="J69" s="3653"/>
      <c r="K69" s="3653">
        <f>SUM(K70)</f>
        <v>7055</v>
      </c>
      <c r="L69" s="3652"/>
    </row>
    <row r="70" spans="1:13" ht="31.5" customHeight="1">
      <c r="A70" s="5004"/>
      <c r="B70" s="5017" t="s">
        <v>1091</v>
      </c>
      <c r="C70" s="5027" t="s">
        <v>378</v>
      </c>
      <c r="D70" s="3651" t="s">
        <v>1429</v>
      </c>
      <c r="E70" s="3650">
        <f t="shared" si="7"/>
        <v>1758000</v>
      </c>
      <c r="F70" s="3650">
        <f t="shared" si="8"/>
        <v>1758000</v>
      </c>
      <c r="G70" s="3650">
        <f>SUM(H70:I70)</f>
        <v>1750945</v>
      </c>
      <c r="H70" s="3650">
        <f>SUM(H71:H91)</f>
        <v>1433568</v>
      </c>
      <c r="I70" s="3650">
        <f>SUM(I71:I90)</f>
        <v>317377</v>
      </c>
      <c r="J70" s="3650"/>
      <c r="K70" s="3650">
        <f>SUM(K71:K90)</f>
        <v>7055</v>
      </c>
      <c r="L70" s="3649"/>
      <c r="M70" s="3630"/>
    </row>
    <row r="71" spans="1:13" ht="16.5" customHeight="1">
      <c r="A71" s="5004"/>
      <c r="B71" s="5018"/>
      <c r="C71" s="5009"/>
      <c r="D71" s="3648">
        <v>3020</v>
      </c>
      <c r="E71" s="3647">
        <f t="shared" si="7"/>
        <v>7055</v>
      </c>
      <c r="F71" s="3647">
        <f t="shared" si="8"/>
        <v>7055</v>
      </c>
      <c r="G71" s="3647"/>
      <c r="H71" s="3647"/>
      <c r="I71" s="3647"/>
      <c r="J71" s="3647"/>
      <c r="K71" s="3647">
        <v>7055</v>
      </c>
      <c r="L71" s="3621"/>
      <c r="M71" s="3630"/>
    </row>
    <row r="72" spans="1:13" ht="15" customHeight="1">
      <c r="A72" s="5004"/>
      <c r="B72" s="5018"/>
      <c r="C72" s="5009"/>
      <c r="D72" s="3648">
        <v>4010</v>
      </c>
      <c r="E72" s="3647">
        <f t="shared" si="7"/>
        <v>1085195</v>
      </c>
      <c r="F72" s="3647">
        <f t="shared" si="8"/>
        <v>1085195</v>
      </c>
      <c r="G72" s="3647">
        <f t="shared" ref="G72:G91" si="9">SUM(H72:I72)</f>
        <v>1085195</v>
      </c>
      <c r="H72" s="3647">
        <v>1085195</v>
      </c>
      <c r="I72" s="3647"/>
      <c r="J72" s="3647"/>
      <c r="K72" s="3647"/>
      <c r="L72" s="3621"/>
    </row>
    <row r="73" spans="1:13" ht="15" customHeight="1">
      <c r="A73" s="5004"/>
      <c r="B73" s="5018"/>
      <c r="C73" s="5009"/>
      <c r="D73" s="3648">
        <v>4040</v>
      </c>
      <c r="E73" s="3647">
        <f t="shared" si="7"/>
        <v>111218</v>
      </c>
      <c r="F73" s="3647">
        <f t="shared" si="8"/>
        <v>111218</v>
      </c>
      <c r="G73" s="3647">
        <f t="shared" si="9"/>
        <v>111218</v>
      </c>
      <c r="H73" s="3647">
        <v>111218</v>
      </c>
      <c r="I73" s="3647"/>
      <c r="J73" s="3647"/>
      <c r="K73" s="3647"/>
      <c r="L73" s="3621"/>
    </row>
    <row r="74" spans="1:13" ht="15" customHeight="1">
      <c r="A74" s="5004"/>
      <c r="B74" s="5018"/>
      <c r="C74" s="5009"/>
      <c r="D74" s="3648">
        <v>4110</v>
      </c>
      <c r="E74" s="3647">
        <f t="shared" si="7"/>
        <v>203864</v>
      </c>
      <c r="F74" s="3647">
        <f t="shared" si="8"/>
        <v>203864</v>
      </c>
      <c r="G74" s="3647">
        <f t="shared" si="9"/>
        <v>203864</v>
      </c>
      <c r="H74" s="3647">
        <v>203864</v>
      </c>
      <c r="I74" s="3647"/>
      <c r="J74" s="3647"/>
      <c r="K74" s="3647"/>
      <c r="L74" s="3621"/>
    </row>
    <row r="75" spans="1:13" ht="15" customHeight="1">
      <c r="A75" s="5004"/>
      <c r="B75" s="5018"/>
      <c r="C75" s="5009"/>
      <c r="D75" s="3648">
        <v>4120</v>
      </c>
      <c r="E75" s="3647">
        <f t="shared" si="7"/>
        <v>28920</v>
      </c>
      <c r="F75" s="3647">
        <f t="shared" si="8"/>
        <v>28920</v>
      </c>
      <c r="G75" s="3647">
        <f t="shared" si="9"/>
        <v>28920</v>
      </c>
      <c r="H75" s="3647">
        <v>28920</v>
      </c>
      <c r="I75" s="3647"/>
      <c r="J75" s="3647"/>
      <c r="K75" s="3647"/>
      <c r="L75" s="3621"/>
    </row>
    <row r="76" spans="1:13" ht="15" customHeight="1">
      <c r="A76" s="5004"/>
      <c r="B76" s="5018"/>
      <c r="C76" s="5009"/>
      <c r="D76" s="3648">
        <v>4140</v>
      </c>
      <c r="E76" s="3647">
        <f t="shared" si="7"/>
        <v>4263</v>
      </c>
      <c r="F76" s="3647">
        <f t="shared" si="8"/>
        <v>4263</v>
      </c>
      <c r="G76" s="3647">
        <f t="shared" si="9"/>
        <v>4263</v>
      </c>
      <c r="H76" s="3647"/>
      <c r="I76" s="3647">
        <v>4263</v>
      </c>
      <c r="J76" s="3647"/>
      <c r="K76" s="3647"/>
      <c r="L76" s="3621"/>
    </row>
    <row r="77" spans="1:13" ht="15" customHeight="1">
      <c r="A77" s="5004"/>
      <c r="B77" s="5018"/>
      <c r="C77" s="5009"/>
      <c r="D77" s="3648">
        <v>4210</v>
      </c>
      <c r="E77" s="3647">
        <f t="shared" si="7"/>
        <v>70946</v>
      </c>
      <c r="F77" s="3647">
        <f t="shared" si="8"/>
        <v>70946</v>
      </c>
      <c r="G77" s="3647">
        <f t="shared" si="9"/>
        <v>70946</v>
      </c>
      <c r="H77" s="3647"/>
      <c r="I77" s="3647">
        <v>70946</v>
      </c>
      <c r="J77" s="3647"/>
      <c r="K77" s="3647"/>
      <c r="L77" s="3621"/>
    </row>
    <row r="78" spans="1:13" ht="15" customHeight="1">
      <c r="A78" s="5004"/>
      <c r="B78" s="5018"/>
      <c r="C78" s="5009"/>
      <c r="D78" s="3648">
        <v>4220</v>
      </c>
      <c r="E78" s="3647">
        <f t="shared" si="7"/>
        <v>4500</v>
      </c>
      <c r="F78" s="3647">
        <f t="shared" si="8"/>
        <v>4500</v>
      </c>
      <c r="G78" s="3647">
        <f t="shared" si="9"/>
        <v>4500</v>
      </c>
      <c r="H78" s="3647"/>
      <c r="I78" s="3647">
        <v>4500</v>
      </c>
      <c r="J78" s="3647"/>
      <c r="K78" s="3647"/>
      <c r="L78" s="3621"/>
    </row>
    <row r="79" spans="1:13" ht="15" customHeight="1">
      <c r="A79" s="5004"/>
      <c r="B79" s="5018"/>
      <c r="C79" s="5009"/>
      <c r="D79" s="3648">
        <v>4240</v>
      </c>
      <c r="E79" s="3647">
        <f t="shared" si="7"/>
        <v>5000</v>
      </c>
      <c r="F79" s="3647">
        <f t="shared" si="8"/>
        <v>5000</v>
      </c>
      <c r="G79" s="3647">
        <f t="shared" si="9"/>
        <v>5000</v>
      </c>
      <c r="H79" s="3647"/>
      <c r="I79" s="3647">
        <v>5000</v>
      </c>
      <c r="J79" s="3647"/>
      <c r="K79" s="3647"/>
      <c r="L79" s="3621"/>
    </row>
    <row r="80" spans="1:13" ht="15" customHeight="1">
      <c r="A80" s="5004"/>
      <c r="B80" s="5018"/>
      <c r="C80" s="5009"/>
      <c r="D80" s="3648">
        <v>4260</v>
      </c>
      <c r="E80" s="3647">
        <f t="shared" si="7"/>
        <v>30973</v>
      </c>
      <c r="F80" s="3647">
        <f t="shared" si="8"/>
        <v>30973</v>
      </c>
      <c r="G80" s="3647">
        <f t="shared" si="9"/>
        <v>30973</v>
      </c>
      <c r="H80" s="3647"/>
      <c r="I80" s="3647">
        <v>30973</v>
      </c>
      <c r="J80" s="3647"/>
      <c r="K80" s="3647"/>
      <c r="L80" s="3621"/>
    </row>
    <row r="81" spans="1:12" ht="15" customHeight="1">
      <c r="A81" s="5004"/>
      <c r="B81" s="5018"/>
      <c r="C81" s="5009"/>
      <c r="D81" s="3648">
        <v>4270</v>
      </c>
      <c r="E81" s="3647">
        <f t="shared" si="7"/>
        <v>14448</v>
      </c>
      <c r="F81" s="3647">
        <f t="shared" si="8"/>
        <v>14448</v>
      </c>
      <c r="G81" s="3647">
        <f t="shared" si="9"/>
        <v>14448</v>
      </c>
      <c r="H81" s="3647"/>
      <c r="I81" s="3647">
        <v>14448</v>
      </c>
      <c r="J81" s="3647"/>
      <c r="K81" s="3647"/>
      <c r="L81" s="3621"/>
    </row>
    <row r="82" spans="1:12" ht="15" customHeight="1">
      <c r="A82" s="5004"/>
      <c r="B82" s="5018"/>
      <c r="C82" s="5009"/>
      <c r="D82" s="3648">
        <v>4280</v>
      </c>
      <c r="E82" s="3647">
        <f t="shared" si="7"/>
        <v>900</v>
      </c>
      <c r="F82" s="3647">
        <f t="shared" si="8"/>
        <v>900</v>
      </c>
      <c r="G82" s="3647">
        <f t="shared" si="9"/>
        <v>900</v>
      </c>
      <c r="H82" s="3647"/>
      <c r="I82" s="3647">
        <v>900</v>
      </c>
      <c r="J82" s="3647"/>
      <c r="K82" s="3647"/>
      <c r="L82" s="3621"/>
    </row>
    <row r="83" spans="1:12" ht="15" customHeight="1">
      <c r="A83" s="5004"/>
      <c r="B83" s="5018"/>
      <c r="C83" s="5009"/>
      <c r="D83" s="3648">
        <v>4300</v>
      </c>
      <c r="E83" s="3647">
        <f t="shared" si="7"/>
        <v>96752</v>
      </c>
      <c r="F83" s="3647">
        <f t="shared" si="8"/>
        <v>96752</v>
      </c>
      <c r="G83" s="3647">
        <f t="shared" si="9"/>
        <v>96752</v>
      </c>
      <c r="H83" s="3647"/>
      <c r="I83" s="3647">
        <v>96752</v>
      </c>
      <c r="J83" s="3647"/>
      <c r="K83" s="3647"/>
      <c r="L83" s="3621"/>
    </row>
    <row r="84" spans="1:12" ht="15" customHeight="1">
      <c r="A84" s="5004"/>
      <c r="B84" s="5018"/>
      <c r="C84" s="5009"/>
      <c r="D84" s="3648">
        <v>4360</v>
      </c>
      <c r="E84" s="3647">
        <f t="shared" si="7"/>
        <v>5133</v>
      </c>
      <c r="F84" s="3647">
        <f t="shared" si="8"/>
        <v>5133</v>
      </c>
      <c r="G84" s="3647">
        <f t="shared" si="9"/>
        <v>5133</v>
      </c>
      <c r="H84" s="3647"/>
      <c r="I84" s="3647">
        <v>5133</v>
      </c>
      <c r="J84" s="3647"/>
      <c r="K84" s="3647"/>
      <c r="L84" s="3621"/>
    </row>
    <row r="85" spans="1:12" ht="15" customHeight="1">
      <c r="A85" s="5004"/>
      <c r="B85" s="5018"/>
      <c r="C85" s="5009"/>
      <c r="D85" s="3648">
        <v>4410</v>
      </c>
      <c r="E85" s="3647">
        <f t="shared" si="7"/>
        <v>6804</v>
      </c>
      <c r="F85" s="3647">
        <f t="shared" si="8"/>
        <v>6804</v>
      </c>
      <c r="G85" s="3647">
        <f t="shared" si="9"/>
        <v>6804</v>
      </c>
      <c r="H85" s="3647"/>
      <c r="I85" s="3647">
        <v>6804</v>
      </c>
      <c r="J85" s="3647"/>
      <c r="K85" s="3647"/>
      <c r="L85" s="3621"/>
    </row>
    <row r="86" spans="1:12" ht="15" customHeight="1">
      <c r="A86" s="5004"/>
      <c r="B86" s="5018"/>
      <c r="C86" s="5009"/>
      <c r="D86" s="3648">
        <v>4430</v>
      </c>
      <c r="E86" s="3647">
        <f t="shared" si="7"/>
        <v>4363</v>
      </c>
      <c r="F86" s="3647">
        <f t="shared" si="8"/>
        <v>4363</v>
      </c>
      <c r="G86" s="3647">
        <f t="shared" si="9"/>
        <v>4363</v>
      </c>
      <c r="H86" s="3647"/>
      <c r="I86" s="3647">
        <v>4363</v>
      </c>
      <c r="J86" s="3647"/>
      <c r="K86" s="3647"/>
      <c r="L86" s="3621"/>
    </row>
    <row r="87" spans="1:12" ht="15" customHeight="1">
      <c r="A87" s="5004"/>
      <c r="B87" s="5018"/>
      <c r="C87" s="5009"/>
      <c r="D87" s="3648">
        <v>4440</v>
      </c>
      <c r="E87" s="3647">
        <f t="shared" si="7"/>
        <v>32427</v>
      </c>
      <c r="F87" s="3647">
        <f t="shared" si="8"/>
        <v>32427</v>
      </c>
      <c r="G87" s="3647">
        <f t="shared" si="9"/>
        <v>32427</v>
      </c>
      <c r="H87" s="3647"/>
      <c r="I87" s="3647">
        <v>32427</v>
      </c>
      <c r="J87" s="3647"/>
      <c r="K87" s="3647"/>
      <c r="L87" s="3621"/>
    </row>
    <row r="88" spans="1:12" ht="15" customHeight="1">
      <c r="A88" s="5004"/>
      <c r="B88" s="5018"/>
      <c r="C88" s="5009"/>
      <c r="D88" s="3648">
        <v>4480</v>
      </c>
      <c r="E88" s="3647">
        <f t="shared" si="7"/>
        <v>5311</v>
      </c>
      <c r="F88" s="3647">
        <f t="shared" si="8"/>
        <v>5311</v>
      </c>
      <c r="G88" s="3647">
        <f t="shared" si="9"/>
        <v>5311</v>
      </c>
      <c r="H88" s="3647"/>
      <c r="I88" s="3647">
        <v>5311</v>
      </c>
      <c r="J88" s="3647"/>
      <c r="K88" s="3647"/>
      <c r="L88" s="3621"/>
    </row>
    <row r="89" spans="1:12" ht="15" customHeight="1">
      <c r="A89" s="5004"/>
      <c r="B89" s="5018"/>
      <c r="C89" s="5009"/>
      <c r="D89" s="3648">
        <v>4520</v>
      </c>
      <c r="E89" s="3647">
        <f t="shared" si="7"/>
        <v>4887</v>
      </c>
      <c r="F89" s="3647">
        <f t="shared" si="8"/>
        <v>4887</v>
      </c>
      <c r="G89" s="3647">
        <f t="shared" si="9"/>
        <v>4887</v>
      </c>
      <c r="H89" s="3647"/>
      <c r="I89" s="3647">
        <v>4887</v>
      </c>
      <c r="J89" s="3647"/>
      <c r="K89" s="3647"/>
      <c r="L89" s="3621"/>
    </row>
    <row r="90" spans="1:12" ht="15" customHeight="1">
      <c r="A90" s="5004"/>
      <c r="B90" s="5018"/>
      <c r="C90" s="5009"/>
      <c r="D90" s="3646">
        <v>4700</v>
      </c>
      <c r="E90" s="3643">
        <f t="shared" si="7"/>
        <v>30670</v>
      </c>
      <c r="F90" s="3643">
        <f t="shared" si="8"/>
        <v>30670</v>
      </c>
      <c r="G90" s="3643">
        <f t="shared" si="9"/>
        <v>30670</v>
      </c>
      <c r="H90" s="3643"/>
      <c r="I90" s="3643">
        <v>30670</v>
      </c>
      <c r="J90" s="3643"/>
      <c r="K90" s="3643"/>
      <c r="L90" s="3645"/>
    </row>
    <row r="91" spans="1:12" ht="15" customHeight="1" thickBot="1">
      <c r="A91" s="5029"/>
      <c r="B91" s="5026"/>
      <c r="C91" s="5028"/>
      <c r="D91" s="3644">
        <v>4710</v>
      </c>
      <c r="E91" s="3643">
        <f t="shared" si="7"/>
        <v>4371</v>
      </c>
      <c r="F91" s="3643">
        <f t="shared" si="8"/>
        <v>4371</v>
      </c>
      <c r="G91" s="3643">
        <f t="shared" si="9"/>
        <v>4371</v>
      </c>
      <c r="H91" s="3642">
        <v>4371</v>
      </c>
      <c r="I91" s="3642"/>
      <c r="J91" s="3642"/>
      <c r="K91" s="3642"/>
      <c r="L91" s="3641"/>
    </row>
    <row r="92" spans="1:12" ht="35.1" customHeight="1" thickBot="1">
      <c r="A92" s="5022" t="s">
        <v>855</v>
      </c>
      <c r="B92" s="5023"/>
      <c r="C92" s="5023"/>
      <c r="D92" s="3640"/>
      <c r="E92" s="3639">
        <f t="shared" ref="E92:L92" si="10">SUM(E64,E69,E57,E34,E28,E12,E6,E23)</f>
        <v>76934000</v>
      </c>
      <c r="F92" s="3639">
        <f t="shared" si="10"/>
        <v>76784000</v>
      </c>
      <c r="G92" s="3639">
        <f t="shared" si="10"/>
        <v>25165565</v>
      </c>
      <c r="H92" s="3639">
        <f t="shared" si="10"/>
        <v>2765658</v>
      </c>
      <c r="I92" s="3639">
        <f t="shared" si="10"/>
        <v>22399907</v>
      </c>
      <c r="J92" s="3639">
        <f t="shared" si="10"/>
        <v>51604000</v>
      </c>
      <c r="K92" s="3639">
        <f t="shared" si="10"/>
        <v>14435</v>
      </c>
      <c r="L92" s="3617">
        <f t="shared" si="10"/>
        <v>150000</v>
      </c>
    </row>
    <row r="93" spans="1:12" ht="12.75">
      <c r="A93" s="3638"/>
      <c r="B93" s="3637"/>
      <c r="E93" s="3630"/>
      <c r="F93" s="3630"/>
      <c r="G93" s="3630"/>
      <c r="H93" s="3630"/>
      <c r="I93" s="3630"/>
      <c r="J93" s="3630"/>
      <c r="K93" s="3630"/>
      <c r="L93" s="3630"/>
    </row>
    <row r="94" spans="1:12" ht="12.75">
      <c r="A94" s="3638"/>
      <c r="B94" s="3637"/>
      <c r="E94" s="3630"/>
      <c r="F94" s="3630"/>
      <c r="G94" s="3630"/>
      <c r="H94" s="3630"/>
      <c r="I94" s="3630"/>
      <c r="J94" s="3630"/>
      <c r="K94" s="3630"/>
      <c r="L94" s="3630"/>
    </row>
    <row r="95" spans="1:12" ht="12.75">
      <c r="A95" s="3638"/>
      <c r="B95" s="3637"/>
      <c r="E95" s="3630"/>
      <c r="F95" s="3630"/>
      <c r="G95" s="3630"/>
      <c r="H95" s="3630"/>
      <c r="I95" s="3630"/>
      <c r="J95" s="3630"/>
      <c r="K95" s="3630"/>
      <c r="L95" s="3630"/>
    </row>
    <row r="96" spans="1:12" ht="12.75">
      <c r="A96" s="3638"/>
      <c r="B96" s="3637"/>
      <c r="E96" s="3630"/>
      <c r="F96" s="3630"/>
      <c r="G96" s="3630"/>
      <c r="H96" s="3630"/>
      <c r="I96" s="3630"/>
      <c r="J96" s="3630"/>
      <c r="K96" s="3630"/>
      <c r="L96" s="3630"/>
    </row>
    <row r="97" spans="1:12" ht="12.75">
      <c r="A97" s="3638"/>
      <c r="B97" s="3637"/>
      <c r="E97" s="3630"/>
      <c r="F97" s="3630"/>
      <c r="G97" s="3630"/>
      <c r="H97" s="3630"/>
      <c r="I97" s="3630"/>
      <c r="J97" s="3630"/>
      <c r="K97" s="3630"/>
      <c r="L97" s="3630"/>
    </row>
    <row r="98" spans="1:12" ht="12.75">
      <c r="A98" s="5024"/>
      <c r="B98" s="5025"/>
      <c r="C98" s="5025"/>
      <c r="D98" s="5025"/>
      <c r="E98" s="5025"/>
      <c r="F98" s="5025"/>
      <c r="G98" s="5025"/>
      <c r="H98" s="5025"/>
      <c r="I98" s="5025"/>
      <c r="J98" s="5025"/>
      <c r="K98" s="5025"/>
      <c r="L98" s="5025"/>
    </row>
    <row r="99" spans="1:12" ht="12.75">
      <c r="A99" s="3638"/>
      <c r="B99" s="3637"/>
      <c r="F99" s="3630"/>
      <c r="G99" s="3630"/>
      <c r="H99" s="3630"/>
      <c r="I99" s="3630"/>
      <c r="J99" s="3630"/>
      <c r="K99" s="3630"/>
      <c r="L99" s="3630"/>
    </row>
    <row r="100" spans="1:12" ht="12.75">
      <c r="A100" s="3638"/>
      <c r="B100" s="3637"/>
      <c r="E100" s="3630"/>
      <c r="F100" s="3630"/>
      <c r="G100" s="3630"/>
      <c r="H100" s="3630"/>
      <c r="I100" s="3630"/>
      <c r="J100" s="3630"/>
      <c r="K100" s="3630"/>
      <c r="L100" s="3630"/>
    </row>
    <row r="101" spans="1:12" ht="12.75">
      <c r="A101" s="3638"/>
      <c r="B101" s="3637"/>
      <c r="F101" s="3630"/>
      <c r="G101" s="3630"/>
      <c r="H101" s="3630"/>
      <c r="I101" s="3630"/>
      <c r="J101" s="3630"/>
      <c r="K101" s="3630"/>
      <c r="L101" s="3630"/>
    </row>
    <row r="102" spans="1:12" ht="12.75">
      <c r="A102" s="3638"/>
      <c r="B102" s="3637"/>
      <c r="F102" s="3630"/>
      <c r="G102" s="3630"/>
      <c r="H102" s="3630"/>
      <c r="I102" s="3630"/>
      <c r="J102" s="3630"/>
      <c r="K102" s="3630"/>
      <c r="L102" s="3630"/>
    </row>
    <row r="103" spans="1:12" ht="12.75">
      <c r="A103" s="3638"/>
      <c r="B103" s="3637"/>
      <c r="F103" s="3630"/>
      <c r="G103" s="3630"/>
      <c r="H103" s="3630"/>
      <c r="I103" s="3630"/>
      <c r="J103" s="3630"/>
      <c r="K103" s="3630"/>
      <c r="L103" s="3630"/>
    </row>
    <row r="104" spans="1:12" ht="12.75">
      <c r="A104" s="3638"/>
      <c r="B104" s="3637"/>
      <c r="F104" s="3630"/>
      <c r="G104" s="3630"/>
      <c r="H104" s="3630"/>
      <c r="I104" s="3630"/>
      <c r="J104" s="3630"/>
      <c r="K104" s="3630"/>
      <c r="L104" s="3630"/>
    </row>
    <row r="105" spans="1:12" ht="12.75">
      <c r="A105" s="3638"/>
      <c r="B105" s="3637"/>
      <c r="F105" s="3630"/>
      <c r="G105" s="3630"/>
      <c r="H105" s="3630"/>
      <c r="I105" s="3630"/>
      <c r="J105" s="3630"/>
      <c r="K105" s="3630"/>
      <c r="L105" s="3630"/>
    </row>
    <row r="106" spans="1:12" ht="12.75">
      <c r="A106" s="3636"/>
      <c r="B106" s="3637"/>
      <c r="F106" s="3630"/>
      <c r="G106" s="3630"/>
      <c r="H106" s="3630"/>
      <c r="I106" s="3630"/>
      <c r="J106" s="3630"/>
      <c r="K106" s="3630"/>
      <c r="L106" s="3630"/>
    </row>
    <row r="107" spans="1:12" ht="12.75">
      <c r="A107" s="3636"/>
      <c r="B107" s="3637"/>
      <c r="F107" s="3630"/>
      <c r="G107" s="3630"/>
      <c r="H107" s="3630"/>
      <c r="I107" s="3630"/>
      <c r="J107" s="3630"/>
      <c r="K107" s="3630"/>
      <c r="L107" s="3630"/>
    </row>
    <row r="108" spans="1:12" ht="12.75">
      <c r="A108" s="3636"/>
      <c r="B108" s="3637"/>
      <c r="F108" s="3630"/>
      <c r="G108" s="3630"/>
      <c r="H108" s="3630"/>
      <c r="I108" s="3630"/>
      <c r="J108" s="3630"/>
      <c r="K108" s="3630"/>
      <c r="L108" s="3630"/>
    </row>
    <row r="109" spans="1:12" ht="12.75">
      <c r="A109" s="3636"/>
      <c r="B109" s="3637"/>
      <c r="F109" s="3630"/>
      <c r="G109" s="3630"/>
      <c r="H109" s="3630"/>
      <c r="I109" s="3630"/>
      <c r="J109" s="3630"/>
      <c r="K109" s="3630"/>
      <c r="L109" s="3630"/>
    </row>
    <row r="110" spans="1:12" ht="12.75">
      <c r="A110" s="3636"/>
      <c r="B110" s="3637"/>
      <c r="F110" s="3630"/>
      <c r="G110" s="3630"/>
      <c r="H110" s="3630"/>
      <c r="I110" s="3630"/>
      <c r="J110" s="3630"/>
      <c r="K110" s="3630"/>
      <c r="L110" s="3630"/>
    </row>
    <row r="111" spans="1:12" ht="12.75">
      <c r="A111" s="3636"/>
      <c r="B111" s="3637"/>
      <c r="F111" s="3630"/>
      <c r="G111" s="3630"/>
      <c r="H111" s="3630"/>
      <c r="I111" s="3630"/>
      <c r="J111" s="3630"/>
      <c r="K111" s="3630"/>
      <c r="L111" s="3630"/>
    </row>
    <row r="112" spans="1:12" ht="12.75">
      <c r="A112" s="3636"/>
      <c r="B112" s="3637"/>
      <c r="F112" s="3630"/>
      <c r="G112" s="3630"/>
      <c r="H112" s="3630"/>
      <c r="I112" s="3630"/>
      <c r="J112" s="3630"/>
      <c r="K112" s="3630"/>
      <c r="L112" s="3630"/>
    </row>
    <row r="113" spans="1:13" ht="12.75">
      <c r="A113" s="3636"/>
      <c r="B113" s="3637"/>
      <c r="F113" s="3630"/>
      <c r="G113" s="3630"/>
      <c r="H113" s="3630"/>
      <c r="I113" s="3630"/>
      <c r="J113" s="3630"/>
      <c r="K113" s="3630"/>
      <c r="L113" s="3630"/>
    </row>
    <row r="114" spans="1:13" ht="12.75">
      <c r="A114" s="3636"/>
      <c r="B114" s="3637"/>
      <c r="F114" s="3630"/>
      <c r="G114" s="3630"/>
      <c r="H114" s="3630"/>
      <c r="I114" s="3630"/>
      <c r="J114" s="3630"/>
      <c r="K114" s="3630"/>
      <c r="L114" s="3630"/>
    </row>
    <row r="115" spans="1:13" ht="12.75">
      <c r="A115" s="3636"/>
      <c r="B115" s="3637"/>
      <c r="F115" s="3630"/>
      <c r="G115" s="3630"/>
      <c r="H115" s="3630"/>
      <c r="I115" s="3630"/>
      <c r="J115" s="3630"/>
      <c r="K115" s="3630"/>
      <c r="L115" s="3630"/>
    </row>
    <row r="116" spans="1:13" ht="12.75">
      <c r="A116" s="3636"/>
      <c r="B116" s="3637"/>
      <c r="F116" s="3630"/>
      <c r="G116" s="3630"/>
      <c r="H116" s="3630"/>
      <c r="I116" s="3630"/>
      <c r="J116" s="3630"/>
      <c r="K116" s="3630"/>
      <c r="L116" s="3630"/>
    </row>
    <row r="117" spans="1:13" ht="12.75">
      <c r="A117" s="3636"/>
      <c r="B117" s="3637"/>
      <c r="F117" s="3630"/>
      <c r="G117" s="3630"/>
      <c r="H117" s="3630"/>
      <c r="I117" s="3630"/>
      <c r="J117" s="3630"/>
      <c r="K117" s="3630"/>
      <c r="L117" s="3630"/>
    </row>
    <row r="118" spans="1:13" ht="12.75">
      <c r="A118" s="3636"/>
      <c r="B118" s="3637"/>
      <c r="F118" s="3630"/>
      <c r="G118" s="3630"/>
      <c r="H118" s="3630"/>
      <c r="I118" s="3630"/>
      <c r="J118" s="3630"/>
      <c r="K118" s="3630"/>
      <c r="L118" s="3630"/>
    </row>
    <row r="119" spans="1:13" ht="12.75">
      <c r="A119" s="3636"/>
      <c r="B119" s="3637"/>
      <c r="F119" s="3630"/>
      <c r="G119" s="3630"/>
      <c r="H119" s="3630"/>
      <c r="I119" s="3630"/>
      <c r="J119" s="3630"/>
      <c r="K119" s="3630"/>
      <c r="L119" s="3630"/>
    </row>
    <row r="120" spans="1:13" ht="12.75">
      <c r="A120" s="3636"/>
      <c r="B120" s="3637"/>
      <c r="F120" s="3630"/>
      <c r="G120" s="3630"/>
      <c r="H120" s="3630"/>
      <c r="I120" s="3630"/>
      <c r="J120" s="3630"/>
      <c r="K120" s="3630"/>
      <c r="L120" s="3630"/>
    </row>
    <row r="121" spans="1:13" ht="12.75">
      <c r="A121" s="3636"/>
      <c r="B121" s="3637"/>
      <c r="F121" s="3630"/>
      <c r="G121" s="3630"/>
      <c r="H121" s="3630"/>
      <c r="I121" s="3630"/>
      <c r="J121" s="3630"/>
      <c r="K121" s="3630"/>
      <c r="L121" s="3630"/>
    </row>
    <row r="122" spans="1:13" ht="12.75">
      <c r="A122" s="3636"/>
    </row>
    <row r="123" spans="1:13" ht="12.75">
      <c r="A123" s="3636"/>
    </row>
    <row r="124" spans="1:13" ht="12.75">
      <c r="A124" s="3636"/>
    </row>
    <row r="125" spans="1:13" ht="12.75">
      <c r="A125" s="3636"/>
    </row>
    <row r="126" spans="1:13" ht="12.75">
      <c r="A126" s="3636"/>
    </row>
    <row r="127" spans="1:13" s="3633" customFormat="1" ht="12.75">
      <c r="A127" s="3636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</row>
    <row r="128" spans="1:13" s="3633" customFormat="1" ht="12.75">
      <c r="A128" s="3636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</row>
    <row r="129" spans="1:13" s="3633" customFormat="1" ht="12.75">
      <c r="A129" s="3636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</row>
    <row r="130" spans="1:13" s="3633" customFormat="1" ht="12.75">
      <c r="A130" s="3636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</row>
    <row r="131" spans="1:13" s="3633" customFormat="1" ht="12.75">
      <c r="A131" s="3636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</row>
    <row r="132" spans="1:13" s="3633" customFormat="1" ht="12.75">
      <c r="A132" s="3636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</row>
    <row r="133" spans="1:13" s="3633" customFormat="1" ht="12.75">
      <c r="A133" s="3636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</row>
    <row r="134" spans="1:13" s="3633" customFormat="1" ht="12.75">
      <c r="A134" s="3636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</row>
    <row r="135" spans="1:13" s="3633" customFormat="1" ht="12.75">
      <c r="A135" s="3636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</row>
    <row r="136" spans="1:13" s="3633" customFormat="1" ht="12.75">
      <c r="A136" s="3636"/>
      <c r="C136" s="1344"/>
      <c r="D136" s="1344"/>
      <c r="E136" s="1344"/>
      <c r="F136" s="1344"/>
      <c r="G136" s="1344"/>
      <c r="H136" s="1344"/>
      <c r="I136" s="1344"/>
      <c r="J136" s="1344"/>
      <c r="K136" s="1344"/>
      <c r="L136" s="1344"/>
      <c r="M136" s="1344"/>
    </row>
    <row r="137" spans="1:13" s="3633" customFormat="1" ht="12.75">
      <c r="A137" s="3636"/>
      <c r="C137" s="1344"/>
      <c r="D137" s="1344"/>
      <c r="E137" s="1344"/>
      <c r="F137" s="1344"/>
      <c r="G137" s="1344"/>
      <c r="H137" s="1344"/>
      <c r="I137" s="1344"/>
      <c r="J137" s="1344"/>
      <c r="K137" s="1344"/>
      <c r="L137" s="1344"/>
      <c r="M137" s="1344"/>
    </row>
    <row r="138" spans="1:13" s="3633" customFormat="1" ht="12.75">
      <c r="A138" s="3636"/>
      <c r="C138" s="1344"/>
      <c r="D138" s="1344"/>
      <c r="E138" s="1344"/>
      <c r="F138" s="1344"/>
      <c r="G138" s="1344"/>
      <c r="H138" s="1344"/>
      <c r="I138" s="1344"/>
      <c r="J138" s="1344"/>
      <c r="K138" s="1344"/>
      <c r="L138" s="1344"/>
      <c r="M138" s="1344"/>
    </row>
    <row r="139" spans="1:13" s="3633" customFormat="1" ht="12.75">
      <c r="A139" s="3636"/>
      <c r="C139" s="1344"/>
      <c r="D139" s="1344"/>
      <c r="E139" s="1344"/>
      <c r="F139" s="1344"/>
      <c r="G139" s="1344"/>
      <c r="H139" s="1344"/>
      <c r="I139" s="1344"/>
      <c r="J139" s="1344"/>
      <c r="K139" s="1344"/>
      <c r="L139" s="1344"/>
      <c r="M139" s="1344"/>
    </row>
    <row r="140" spans="1:13" s="3633" customFormat="1" ht="12.75">
      <c r="A140" s="3636"/>
      <c r="C140" s="1344"/>
      <c r="D140" s="1344"/>
      <c r="E140" s="1344"/>
      <c r="F140" s="1344"/>
      <c r="G140" s="1344"/>
      <c r="H140" s="1344"/>
      <c r="I140" s="1344"/>
      <c r="J140" s="1344"/>
      <c r="K140" s="1344"/>
      <c r="L140" s="1344"/>
      <c r="M140" s="1344"/>
    </row>
    <row r="141" spans="1:13" s="3633" customFormat="1" ht="12.75">
      <c r="A141" s="3636"/>
      <c r="C141" s="1344"/>
      <c r="D141" s="1344"/>
      <c r="E141" s="1344"/>
      <c r="F141" s="1344"/>
      <c r="G141" s="1344"/>
      <c r="H141" s="1344"/>
      <c r="I141" s="1344"/>
      <c r="J141" s="1344"/>
      <c r="K141" s="1344"/>
      <c r="L141" s="1344"/>
      <c r="M141" s="1344"/>
    </row>
    <row r="142" spans="1:13" s="3633" customFormat="1" ht="12.75">
      <c r="A142" s="3636"/>
      <c r="C142" s="1344"/>
      <c r="D142" s="1344"/>
      <c r="E142" s="1344"/>
      <c r="F142" s="1344"/>
      <c r="G142" s="1344"/>
      <c r="H142" s="1344"/>
      <c r="I142" s="1344"/>
      <c r="J142" s="1344"/>
      <c r="K142" s="1344"/>
      <c r="L142" s="1344"/>
      <c r="M142" s="1344"/>
    </row>
    <row r="143" spans="1:13" s="3633" customFormat="1" ht="12.75">
      <c r="A143" s="3636"/>
      <c r="C143" s="1344"/>
      <c r="D143" s="1344"/>
      <c r="E143" s="1344"/>
      <c r="F143" s="1344"/>
      <c r="G143" s="1344"/>
      <c r="H143" s="1344"/>
      <c r="I143" s="1344"/>
      <c r="J143" s="1344"/>
      <c r="K143" s="1344"/>
      <c r="L143" s="1344"/>
      <c r="M143" s="1344"/>
    </row>
    <row r="144" spans="1:13" s="3633" customFormat="1" ht="12.75">
      <c r="A144" s="3636"/>
      <c r="C144" s="1344"/>
      <c r="D144" s="1344"/>
      <c r="E144" s="1344"/>
      <c r="F144" s="1344"/>
      <c r="G144" s="1344"/>
      <c r="H144" s="1344"/>
      <c r="I144" s="1344"/>
      <c r="J144" s="1344"/>
      <c r="K144" s="1344"/>
      <c r="L144" s="1344"/>
      <c r="M144" s="1344"/>
    </row>
    <row r="145" spans="1:13" s="3633" customFormat="1" ht="12.75">
      <c r="A145" s="3636"/>
      <c r="C145" s="1344" t="s">
        <v>1424</v>
      </c>
      <c r="D145" s="1344"/>
      <c r="E145" s="1344"/>
      <c r="F145" s="1344"/>
      <c r="G145" s="1344"/>
      <c r="H145" s="1344"/>
      <c r="I145" s="1344"/>
      <c r="J145" s="1344"/>
      <c r="K145" s="1344"/>
      <c r="L145" s="1344"/>
      <c r="M145" s="1344"/>
    </row>
    <row r="146" spans="1:13" s="3633" customFormat="1" ht="12.75">
      <c r="A146" s="3636"/>
      <c r="C146" s="1344"/>
      <c r="D146" s="1344"/>
      <c r="E146" s="1344"/>
      <c r="F146" s="1344"/>
      <c r="G146" s="1344"/>
      <c r="H146" s="1344"/>
      <c r="I146" s="1344"/>
      <c r="J146" s="1344"/>
      <c r="K146" s="1344"/>
      <c r="L146" s="1344"/>
      <c r="M146" s="1344"/>
    </row>
    <row r="147" spans="1:13" s="3633" customFormat="1" ht="12.75">
      <c r="A147" s="3636"/>
      <c r="C147" s="1344"/>
      <c r="D147" s="1344"/>
      <c r="E147" s="1344"/>
      <c r="F147" s="1344"/>
      <c r="G147" s="1344"/>
      <c r="H147" s="1344"/>
      <c r="I147" s="1344"/>
      <c r="J147" s="1344"/>
      <c r="K147" s="1344"/>
      <c r="L147" s="1344"/>
      <c r="M147" s="1344"/>
    </row>
    <row r="148" spans="1:13" s="3633" customFormat="1" ht="12.75">
      <c r="A148" s="3636"/>
      <c r="C148" s="1344"/>
      <c r="D148" s="1344"/>
      <c r="E148" s="1344"/>
      <c r="F148" s="1344"/>
      <c r="G148" s="1344"/>
      <c r="H148" s="1344"/>
      <c r="I148" s="1344"/>
      <c r="J148" s="1344"/>
      <c r="K148" s="1344"/>
      <c r="L148" s="1344"/>
      <c r="M148" s="1344"/>
    </row>
    <row r="149" spans="1:13" s="3633" customFormat="1" ht="12.75">
      <c r="A149" s="3636"/>
      <c r="C149" s="1344"/>
      <c r="D149" s="1344"/>
      <c r="E149" s="1344"/>
      <c r="F149" s="1344"/>
      <c r="G149" s="1344"/>
      <c r="H149" s="1344"/>
      <c r="I149" s="1344"/>
      <c r="J149" s="1344"/>
      <c r="K149" s="1344"/>
      <c r="L149" s="1344"/>
      <c r="M149" s="1344"/>
    </row>
    <row r="150" spans="1:13" s="3633" customFormat="1" ht="12.75">
      <c r="A150" s="3636"/>
      <c r="C150" s="1344"/>
      <c r="D150" s="1344"/>
      <c r="E150" s="1344"/>
      <c r="F150" s="1344"/>
      <c r="G150" s="1344"/>
      <c r="H150" s="1344"/>
      <c r="I150" s="1344"/>
      <c r="J150" s="1344"/>
      <c r="K150" s="1344"/>
      <c r="L150" s="1344"/>
      <c r="M150" s="1344"/>
    </row>
    <row r="151" spans="1:13" s="3633" customFormat="1" ht="12.75">
      <c r="A151" s="3636"/>
      <c r="C151" s="1344"/>
      <c r="D151" s="1344"/>
      <c r="E151" s="1344"/>
      <c r="F151" s="1344"/>
      <c r="G151" s="1344"/>
      <c r="H151" s="1344"/>
      <c r="I151" s="1344"/>
      <c r="J151" s="1344"/>
      <c r="K151" s="1344"/>
      <c r="L151" s="1344"/>
      <c r="M151" s="1344"/>
    </row>
    <row r="152" spans="1:13" s="3633" customFormat="1" ht="12.75">
      <c r="A152" s="3636"/>
      <c r="C152" s="1344"/>
      <c r="D152" s="1344"/>
      <c r="E152" s="1344"/>
      <c r="F152" s="1344"/>
      <c r="G152" s="1344"/>
      <c r="H152" s="1344"/>
      <c r="I152" s="1344"/>
      <c r="J152" s="1344"/>
      <c r="K152" s="1344"/>
      <c r="L152" s="1344"/>
      <c r="M152" s="1344"/>
    </row>
    <row r="153" spans="1:13" s="3633" customFormat="1" ht="12.75">
      <c r="A153" s="3636"/>
      <c r="C153" s="1344"/>
      <c r="D153" s="1344"/>
      <c r="E153" s="1344"/>
      <c r="F153" s="1344"/>
      <c r="G153" s="1344"/>
      <c r="H153" s="1344"/>
      <c r="I153" s="1344"/>
      <c r="J153" s="1344"/>
      <c r="K153" s="1344"/>
      <c r="L153" s="1344"/>
      <c r="M153" s="1344"/>
    </row>
    <row r="154" spans="1:13" s="3633" customFormat="1" ht="12.75">
      <c r="A154" s="3636"/>
      <c r="C154" s="1344"/>
      <c r="D154" s="1344"/>
      <c r="E154" s="1344"/>
      <c r="F154" s="1344"/>
      <c r="G154" s="1344"/>
      <c r="H154" s="1344"/>
      <c r="I154" s="1344"/>
      <c r="J154" s="1344"/>
      <c r="K154" s="1344"/>
      <c r="L154" s="1344"/>
      <c r="M154" s="1344"/>
    </row>
    <row r="155" spans="1:13" s="3633" customFormat="1" ht="12.75">
      <c r="A155" s="3636"/>
      <c r="C155" s="1344"/>
      <c r="D155" s="1344"/>
      <c r="E155" s="1344"/>
      <c r="F155" s="1344"/>
      <c r="G155" s="1344"/>
      <c r="H155" s="1344"/>
      <c r="I155" s="1344"/>
      <c r="J155" s="1344"/>
      <c r="K155" s="1344"/>
      <c r="L155" s="1344"/>
      <c r="M155" s="1344"/>
    </row>
    <row r="156" spans="1:13" s="3633" customFormat="1" ht="12.75">
      <c r="A156" s="3636"/>
      <c r="C156" s="1344"/>
      <c r="D156" s="1344"/>
      <c r="E156" s="1344"/>
      <c r="F156" s="1344"/>
      <c r="G156" s="1344"/>
      <c r="H156" s="1344"/>
      <c r="I156" s="1344"/>
      <c r="J156" s="1344"/>
      <c r="K156" s="1344"/>
      <c r="L156" s="1344"/>
      <c r="M156" s="1344"/>
    </row>
    <row r="157" spans="1:13" s="3633" customFormat="1" ht="12.75">
      <c r="A157" s="3636"/>
      <c r="C157" s="1344"/>
      <c r="D157" s="1344"/>
      <c r="E157" s="1344"/>
      <c r="F157" s="1344"/>
      <c r="G157" s="1344"/>
      <c r="H157" s="1344"/>
      <c r="I157" s="1344"/>
      <c r="J157" s="1344"/>
      <c r="K157" s="1344"/>
      <c r="L157" s="1344"/>
      <c r="M157" s="1344"/>
    </row>
    <row r="158" spans="1:13" s="3633" customFormat="1" ht="12.75">
      <c r="A158" s="3636"/>
      <c r="C158" s="1344"/>
      <c r="D158" s="1344"/>
      <c r="E158" s="1344"/>
      <c r="F158" s="1344"/>
      <c r="G158" s="1344"/>
      <c r="H158" s="1344"/>
      <c r="I158" s="1344"/>
      <c r="J158" s="1344"/>
      <c r="K158" s="1344"/>
      <c r="L158" s="1344"/>
      <c r="M158" s="1344"/>
    </row>
    <row r="159" spans="1:13" s="3633" customFormat="1" ht="12.75">
      <c r="A159" s="3636"/>
      <c r="C159" s="1344"/>
      <c r="D159" s="1344"/>
      <c r="E159" s="1344"/>
      <c r="F159" s="1344"/>
      <c r="G159" s="1344"/>
      <c r="H159" s="1344"/>
      <c r="I159" s="1344"/>
      <c r="J159" s="1344"/>
      <c r="K159" s="1344"/>
      <c r="L159" s="1344"/>
      <c r="M159" s="1344"/>
    </row>
    <row r="160" spans="1:13" s="3633" customFormat="1" ht="12.75">
      <c r="A160" s="3636"/>
      <c r="C160" s="1344"/>
      <c r="D160" s="1344"/>
      <c r="E160" s="1344"/>
      <c r="F160" s="1344"/>
      <c r="G160" s="1344"/>
      <c r="H160" s="1344"/>
      <c r="I160" s="1344"/>
      <c r="J160" s="1344"/>
      <c r="K160" s="1344"/>
      <c r="L160" s="1344"/>
      <c r="M160" s="1344"/>
    </row>
    <row r="161" spans="1:13" s="3633" customFormat="1" ht="12.75">
      <c r="A161" s="3636"/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</row>
    <row r="162" spans="1:13" s="3633" customFormat="1" ht="12.75">
      <c r="A162" s="3636"/>
      <c r="C162" s="1344"/>
      <c r="D162" s="1344"/>
      <c r="E162" s="1344"/>
      <c r="F162" s="1344"/>
      <c r="G162" s="1344"/>
      <c r="H162" s="1344"/>
      <c r="I162" s="1344"/>
      <c r="J162" s="1344"/>
      <c r="K162" s="1344"/>
      <c r="L162" s="1344"/>
      <c r="M162" s="1344"/>
    </row>
    <row r="163" spans="1:13" s="3633" customFormat="1" ht="12.75">
      <c r="A163" s="3636"/>
      <c r="C163" s="1344"/>
      <c r="D163" s="1344"/>
      <c r="E163" s="1344"/>
      <c r="F163" s="1344"/>
      <c r="G163" s="1344"/>
      <c r="H163" s="1344"/>
      <c r="I163" s="1344"/>
      <c r="J163" s="1344"/>
      <c r="K163" s="1344"/>
      <c r="L163" s="1344"/>
      <c r="M163" s="1344"/>
    </row>
    <row r="164" spans="1:13" s="3633" customFormat="1" ht="12.75">
      <c r="A164" s="3636"/>
      <c r="C164" s="1344"/>
      <c r="D164" s="1344"/>
      <c r="E164" s="1344"/>
      <c r="F164" s="1344"/>
      <c r="G164" s="1344"/>
      <c r="H164" s="1344"/>
      <c r="I164" s="1344"/>
      <c r="J164" s="1344"/>
      <c r="K164" s="1344"/>
      <c r="L164" s="1344"/>
      <c r="M164" s="1344"/>
    </row>
    <row r="230" spans="5:5">
      <c r="E230" s="3635">
        <f>115000000+12000000</f>
        <v>127000000</v>
      </c>
    </row>
    <row r="338" spans="5:5">
      <c r="E338" s="3635"/>
    </row>
    <row r="538" spans="17:17">
      <c r="Q538" s="1344">
        <f>P538-O538</f>
        <v>0</v>
      </c>
    </row>
  </sheetData>
  <mergeCells count="54">
    <mergeCell ref="G4:G5"/>
    <mergeCell ref="H4:I4"/>
    <mergeCell ref="J4:J5"/>
    <mergeCell ref="K4:K5"/>
    <mergeCell ref="A1:L1"/>
    <mergeCell ref="A2:L2"/>
    <mergeCell ref="A3:A5"/>
    <mergeCell ref="B3:B5"/>
    <mergeCell ref="C3:C5"/>
    <mergeCell ref="D3:D5"/>
    <mergeCell ref="E3:E5"/>
    <mergeCell ref="F3:F5"/>
    <mergeCell ref="G3:K3"/>
    <mergeCell ref="L3:L5"/>
    <mergeCell ref="A6:A11"/>
    <mergeCell ref="B6:C6"/>
    <mergeCell ref="B7:B11"/>
    <mergeCell ref="C7:C11"/>
    <mergeCell ref="A12:A22"/>
    <mergeCell ref="B12:C12"/>
    <mergeCell ref="B13:B17"/>
    <mergeCell ref="C13:C17"/>
    <mergeCell ref="B18:B22"/>
    <mergeCell ref="C18:C22"/>
    <mergeCell ref="A23:A27"/>
    <mergeCell ref="B23:C23"/>
    <mergeCell ref="B24:B27"/>
    <mergeCell ref="C24:C27"/>
    <mergeCell ref="A28:A33"/>
    <mergeCell ref="B28:C28"/>
    <mergeCell ref="B29:B33"/>
    <mergeCell ref="C29:C33"/>
    <mergeCell ref="A57:A63"/>
    <mergeCell ref="B57:C57"/>
    <mergeCell ref="B61:B63"/>
    <mergeCell ref="C61:C63"/>
    <mergeCell ref="A34:A56"/>
    <mergeCell ref="B34:C34"/>
    <mergeCell ref="B35:B38"/>
    <mergeCell ref="C35:C38"/>
    <mergeCell ref="B39:B44"/>
    <mergeCell ref="C39:C44"/>
    <mergeCell ref="B45:B56"/>
    <mergeCell ref="C45:C56"/>
    <mergeCell ref="A92:C92"/>
    <mergeCell ref="A98:L98"/>
    <mergeCell ref="B70:B91"/>
    <mergeCell ref="C70:C91"/>
    <mergeCell ref="A69:A91"/>
    <mergeCell ref="A64:A68"/>
    <mergeCell ref="B64:C64"/>
    <mergeCell ref="B65:B68"/>
    <mergeCell ref="C65:C68"/>
    <mergeCell ref="B69:C69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65" orientation="portrait" r:id="rId1"/>
  <headerFooter>
    <oddFooter>Strona &amp;P z &amp;N</oddFooter>
  </headerFooter>
  <rowBreaks count="1" manualBreakCount="1">
    <brk id="56" max="11" man="1"/>
  </rowBreaks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5A64-ED19-450F-AA82-DD083A981FB0}">
  <sheetPr>
    <tabColor theme="2" tint="-9.9978637043366805E-2"/>
  </sheetPr>
  <dimension ref="A1:Q534"/>
  <sheetViews>
    <sheetView view="pageBreakPreview" topLeftCell="A16" zoomScaleNormal="75" zoomScaleSheetLayoutView="100" workbookViewId="0">
      <selection activeCell="R6" sqref="R6"/>
    </sheetView>
  </sheetViews>
  <sheetFormatPr defaultRowHeight="15.75"/>
  <cols>
    <col min="1" max="1" width="8.140625" style="3634" customWidth="1"/>
    <col min="2" max="2" width="10.42578125" style="3634" customWidth="1"/>
    <col min="3" max="3" width="9.42578125" style="3633" customWidth="1"/>
    <col min="4" max="4" width="36.5703125" style="1344" customWidth="1"/>
    <col min="5" max="5" width="12.140625" style="1344" bestFit="1" customWidth="1"/>
    <col min="6" max="6" width="15.7109375" style="1344" customWidth="1"/>
    <col min="7" max="7" width="16.5703125" style="1344" customWidth="1"/>
    <col min="8" max="16384" width="9.140625" style="1344"/>
  </cols>
  <sheetData>
    <row r="1" spans="1:11" ht="57" customHeight="1">
      <c r="A1" s="1693"/>
      <c r="B1" s="1693"/>
      <c r="C1" s="3702"/>
      <c r="D1" s="3701"/>
      <c r="E1" s="5067" t="s">
        <v>1463</v>
      </c>
      <c r="F1" s="5067"/>
      <c r="G1" s="5067"/>
    </row>
    <row r="2" spans="1:11" ht="84.75" customHeight="1" thickBot="1">
      <c r="A2" s="4832" t="s">
        <v>1445</v>
      </c>
      <c r="B2" s="4832"/>
      <c r="C2" s="4832"/>
      <c r="D2" s="4832"/>
      <c r="E2" s="4832"/>
      <c r="F2" s="4832"/>
      <c r="G2" s="4832"/>
    </row>
    <row r="3" spans="1:11" ht="35.25" customHeight="1">
      <c r="A3" s="5068" t="s">
        <v>2</v>
      </c>
      <c r="B3" s="5070" t="s">
        <v>651</v>
      </c>
      <c r="C3" s="5070" t="s">
        <v>5</v>
      </c>
      <c r="D3" s="5072" t="s">
        <v>853</v>
      </c>
      <c r="E3" s="5074" t="s">
        <v>1444</v>
      </c>
      <c r="F3" s="5075" t="s">
        <v>1443</v>
      </c>
      <c r="G3" s="5076"/>
    </row>
    <row r="4" spans="1:11" ht="28.5" customHeight="1" thickBot="1">
      <c r="A4" s="5069"/>
      <c r="B4" s="5071"/>
      <c r="C4" s="5071"/>
      <c r="D4" s="5073"/>
      <c r="E4" s="5071"/>
      <c r="F4" s="3700" t="s">
        <v>1442</v>
      </c>
      <c r="G4" s="3699" t="s">
        <v>1441</v>
      </c>
    </row>
    <row r="5" spans="1:11" ht="31.5" customHeight="1" thickBot="1">
      <c r="A5" s="5057" t="s">
        <v>61</v>
      </c>
      <c r="B5" s="5060" t="s">
        <v>62</v>
      </c>
      <c r="C5" s="5061"/>
      <c r="D5" s="5062"/>
      <c r="E5" s="3696">
        <f>SUM(E6)</f>
        <v>44211</v>
      </c>
      <c r="F5" s="3695">
        <f>SUM(F6)</f>
        <v>42000</v>
      </c>
      <c r="G5" s="3694">
        <f>SUM(G6)</f>
        <v>2211</v>
      </c>
    </row>
    <row r="6" spans="1:11" ht="29.25" customHeight="1">
      <c r="A6" s="5058"/>
      <c r="B6" s="5063" t="s">
        <v>63</v>
      </c>
      <c r="C6" s="5065" t="s">
        <v>50</v>
      </c>
      <c r="D6" s="5066"/>
      <c r="E6" s="3693">
        <f>SUM(E7:E8)</f>
        <v>44211</v>
      </c>
      <c r="F6" s="3691">
        <f>SUM(F7:F8)</f>
        <v>42000</v>
      </c>
      <c r="G6" s="3690">
        <f>SUM(G7:G8)</f>
        <v>2211</v>
      </c>
    </row>
    <row r="7" spans="1:11" ht="27.75" customHeight="1">
      <c r="A7" s="5058"/>
      <c r="B7" s="3948"/>
      <c r="C7" s="3689">
        <v>2350</v>
      </c>
      <c r="D7" s="3688"/>
      <c r="E7" s="3683">
        <f>F7+G7</f>
        <v>42000</v>
      </c>
      <c r="F7" s="3687">
        <v>42000</v>
      </c>
      <c r="G7" s="3686"/>
    </row>
    <row r="8" spans="1:11" ht="27.75" customHeight="1" thickBot="1">
      <c r="A8" s="5059"/>
      <c r="B8" s="5064"/>
      <c r="C8" s="3698">
        <v>2360</v>
      </c>
      <c r="D8" s="3697"/>
      <c r="E8" s="3683">
        <f>F8+G8</f>
        <v>2211</v>
      </c>
      <c r="F8" s="3682"/>
      <c r="G8" s="3681">
        <v>2211</v>
      </c>
    </row>
    <row r="9" spans="1:11" ht="31.5" customHeight="1" thickBot="1">
      <c r="A9" s="5057" t="s">
        <v>794</v>
      </c>
      <c r="B9" s="5060" t="s">
        <v>82</v>
      </c>
      <c r="C9" s="5061"/>
      <c r="D9" s="5062"/>
      <c r="E9" s="3696">
        <f>E10</f>
        <v>168421</v>
      </c>
      <c r="F9" s="3695">
        <f>SUM(F10)</f>
        <v>160000</v>
      </c>
      <c r="G9" s="3694">
        <f>SUM(G10)</f>
        <v>8421</v>
      </c>
    </row>
    <row r="10" spans="1:11" ht="29.25" customHeight="1">
      <c r="A10" s="5058"/>
      <c r="B10" s="5063" t="s">
        <v>1382</v>
      </c>
      <c r="C10" s="5065" t="s">
        <v>50</v>
      </c>
      <c r="D10" s="5066"/>
      <c r="E10" s="3693">
        <f>SUM(E11:E12)</f>
        <v>168421</v>
      </c>
      <c r="F10" s="3691">
        <f>SUM(F11:F12)</f>
        <v>160000</v>
      </c>
      <c r="G10" s="3690">
        <f>SUM(G11:G12)</f>
        <v>8421</v>
      </c>
    </row>
    <row r="11" spans="1:11" ht="27.75" customHeight="1">
      <c r="A11" s="5058"/>
      <c r="B11" s="3948"/>
      <c r="C11" s="3689">
        <v>2350</v>
      </c>
      <c r="D11" s="3688"/>
      <c r="E11" s="3683">
        <f>F11+G11</f>
        <v>160000</v>
      </c>
      <c r="F11" s="3687">
        <v>160000</v>
      </c>
      <c r="G11" s="3686"/>
    </row>
    <row r="12" spans="1:11" ht="27.75" customHeight="1" thickBot="1">
      <c r="A12" s="5059"/>
      <c r="B12" s="5064"/>
      <c r="C12" s="3698">
        <v>2360</v>
      </c>
      <c r="D12" s="3697"/>
      <c r="E12" s="3683">
        <f>F12+G12</f>
        <v>8421</v>
      </c>
      <c r="F12" s="3682"/>
      <c r="G12" s="3681">
        <v>8421</v>
      </c>
    </row>
    <row r="13" spans="1:11" ht="33.75" customHeight="1" thickBot="1">
      <c r="A13" s="5057" t="s">
        <v>859</v>
      </c>
      <c r="B13" s="5060" t="s">
        <v>1440</v>
      </c>
      <c r="C13" s="5061"/>
      <c r="D13" s="5062"/>
      <c r="E13" s="3696">
        <f>SUM(E14)</f>
        <v>5263</v>
      </c>
      <c r="F13" s="3695">
        <f>SUM(F14)</f>
        <v>5000</v>
      </c>
      <c r="G13" s="3694">
        <f>SUM(G14)</f>
        <v>263</v>
      </c>
    </row>
    <row r="14" spans="1:11" ht="27.75" customHeight="1">
      <c r="A14" s="5058"/>
      <c r="B14" s="5063" t="s">
        <v>1439</v>
      </c>
      <c r="C14" s="5065" t="s">
        <v>150</v>
      </c>
      <c r="D14" s="5066"/>
      <c r="E14" s="3693">
        <f>E15+E16</f>
        <v>5263</v>
      </c>
      <c r="F14" s="3691">
        <f>SUM(F15:F16)</f>
        <v>5000</v>
      </c>
      <c r="G14" s="3690">
        <f>SUM(G15:G16)</f>
        <v>263</v>
      </c>
      <c r="K14" s="3630"/>
    </row>
    <row r="15" spans="1:11" ht="29.25" customHeight="1">
      <c r="A15" s="5058"/>
      <c r="B15" s="3948"/>
      <c r="C15" s="3689">
        <v>2350</v>
      </c>
      <c r="D15" s="3688"/>
      <c r="E15" s="3683">
        <f>F15+G15</f>
        <v>5000</v>
      </c>
      <c r="F15" s="3687">
        <v>5000</v>
      </c>
      <c r="G15" s="3686"/>
    </row>
    <row r="16" spans="1:11" ht="29.25" customHeight="1" thickBot="1">
      <c r="A16" s="5059"/>
      <c r="B16" s="5064"/>
      <c r="C16" s="3685">
        <v>2360</v>
      </c>
      <c r="D16" s="3684"/>
      <c r="E16" s="3683">
        <f>F16+G16</f>
        <v>263</v>
      </c>
      <c r="F16" s="3682"/>
      <c r="G16" s="3681">
        <v>263</v>
      </c>
    </row>
    <row r="17" spans="1:7" ht="33.75" customHeight="1" thickBot="1">
      <c r="A17" s="5057" t="s">
        <v>483</v>
      </c>
      <c r="B17" s="5060" t="s">
        <v>177</v>
      </c>
      <c r="C17" s="5061"/>
      <c r="D17" s="5062"/>
      <c r="E17" s="3696">
        <f>E18+E21</f>
        <v>40000</v>
      </c>
      <c r="F17" s="3695">
        <f>SUM(F18+F21)</f>
        <v>38000</v>
      </c>
      <c r="G17" s="3694">
        <f>SUM(G18+G21)</f>
        <v>2000</v>
      </c>
    </row>
    <row r="18" spans="1:7" ht="27" customHeight="1">
      <c r="A18" s="5058"/>
      <c r="B18" s="5063" t="s">
        <v>1338</v>
      </c>
      <c r="C18" s="5065" t="s">
        <v>178</v>
      </c>
      <c r="D18" s="5066"/>
      <c r="E18" s="3693">
        <f>SUM(E19:E20)</f>
        <v>13684</v>
      </c>
      <c r="F18" s="3691">
        <f>SUM(F19:F20)</f>
        <v>13000</v>
      </c>
      <c r="G18" s="3690">
        <f>SUM(G19:G20)</f>
        <v>684</v>
      </c>
    </row>
    <row r="19" spans="1:7" ht="29.25" customHeight="1">
      <c r="A19" s="5058"/>
      <c r="B19" s="3948"/>
      <c r="C19" s="3689">
        <v>2350</v>
      </c>
      <c r="D19" s="3688"/>
      <c r="E19" s="3683">
        <f>F19+G19</f>
        <v>13000</v>
      </c>
      <c r="F19" s="3687">
        <v>13000</v>
      </c>
      <c r="G19" s="3686"/>
    </row>
    <row r="20" spans="1:7" ht="29.25" customHeight="1" thickBot="1">
      <c r="A20" s="5058"/>
      <c r="B20" s="5064"/>
      <c r="C20" s="3685">
        <v>2360</v>
      </c>
      <c r="D20" s="3684"/>
      <c r="E20" s="3683">
        <f>F20+G20</f>
        <v>684</v>
      </c>
      <c r="F20" s="3682"/>
      <c r="G20" s="3681">
        <v>684</v>
      </c>
    </row>
    <row r="21" spans="1:7" ht="27" customHeight="1">
      <c r="A21" s="5058"/>
      <c r="B21" s="5063" t="s">
        <v>1319</v>
      </c>
      <c r="C21" s="5065" t="s">
        <v>187</v>
      </c>
      <c r="D21" s="5066"/>
      <c r="E21" s="3692">
        <f>SUM(E22:E23)</f>
        <v>26316</v>
      </c>
      <c r="F21" s="3691">
        <f>SUM(F22:F23)</f>
        <v>25000</v>
      </c>
      <c r="G21" s="3690">
        <f>SUM(G22:G23)</f>
        <v>1316</v>
      </c>
    </row>
    <row r="22" spans="1:7" ht="29.25" customHeight="1">
      <c r="A22" s="5058"/>
      <c r="B22" s="3948"/>
      <c r="C22" s="3689">
        <v>2350</v>
      </c>
      <c r="D22" s="3688"/>
      <c r="E22" s="3683">
        <f>F22+G22</f>
        <v>25000</v>
      </c>
      <c r="F22" s="3687">
        <v>25000</v>
      </c>
      <c r="G22" s="3686"/>
    </row>
    <row r="23" spans="1:7" ht="29.25" customHeight="1" thickBot="1">
      <c r="A23" s="5059"/>
      <c r="B23" s="5064"/>
      <c r="C23" s="3685">
        <v>2360</v>
      </c>
      <c r="D23" s="3684"/>
      <c r="E23" s="3683">
        <f>F23+G23</f>
        <v>1316</v>
      </c>
      <c r="F23" s="3682"/>
      <c r="G23" s="3681">
        <v>1316</v>
      </c>
    </row>
    <row r="24" spans="1:7" ht="30" customHeight="1" thickBot="1">
      <c r="A24" s="5052" t="s">
        <v>655</v>
      </c>
      <c r="B24" s="5053"/>
      <c r="C24" s="5054"/>
      <c r="D24" s="5055"/>
      <c r="E24" s="3680">
        <f>SUM(E17,E13,E9,E5)</f>
        <v>257895</v>
      </c>
      <c r="F24" s="3679">
        <f>SUM(F17,F13,F9,F5)</f>
        <v>245000</v>
      </c>
      <c r="G24" s="3678">
        <f>SUM(G17,G13,G9,G5)</f>
        <v>12895</v>
      </c>
    </row>
    <row r="25" spans="1:7">
      <c r="A25" s="3676"/>
      <c r="B25" s="3676"/>
      <c r="C25" s="3637"/>
      <c r="E25" s="3677"/>
      <c r="F25" s="3630"/>
    </row>
    <row r="26" spans="1:7">
      <c r="A26" s="3676"/>
      <c r="B26" s="3676"/>
      <c r="C26" s="3637"/>
      <c r="E26" s="3677"/>
      <c r="F26" s="3630"/>
    </row>
    <row r="27" spans="1:7">
      <c r="A27" s="3676"/>
      <c r="B27" s="3676"/>
      <c r="C27" s="3637"/>
      <c r="F27" s="3630"/>
    </row>
    <row r="28" spans="1:7">
      <c r="A28" s="3676"/>
      <c r="B28" s="3676"/>
      <c r="C28" s="3637"/>
      <c r="F28" s="3630"/>
    </row>
    <row r="29" spans="1:7">
      <c r="A29" s="3676"/>
      <c r="B29" s="3676"/>
      <c r="C29" s="3637"/>
      <c r="F29" s="3630"/>
    </row>
    <row r="30" spans="1:7">
      <c r="A30" s="5056"/>
      <c r="B30" s="5056"/>
      <c r="C30" s="5056"/>
      <c r="D30" s="5056"/>
      <c r="E30" s="5056"/>
      <c r="F30" s="5056"/>
    </row>
    <row r="31" spans="1:7">
      <c r="A31" s="3676"/>
      <c r="B31" s="3676"/>
      <c r="C31" s="3637"/>
      <c r="F31" s="3630"/>
    </row>
    <row r="32" spans="1:7">
      <c r="A32" s="3676"/>
      <c r="B32" s="3676"/>
      <c r="C32" s="3637"/>
      <c r="F32" s="3630"/>
    </row>
    <row r="33" spans="1:6">
      <c r="A33" s="3676"/>
      <c r="B33" s="3676"/>
      <c r="C33" s="3637"/>
      <c r="F33" s="3630"/>
    </row>
    <row r="34" spans="1:6">
      <c r="A34" s="3676"/>
      <c r="B34" s="3676"/>
      <c r="C34" s="3637"/>
      <c r="F34" s="3630"/>
    </row>
    <row r="35" spans="1:6">
      <c r="A35" s="3676"/>
      <c r="B35" s="3676"/>
      <c r="C35" s="3637"/>
      <c r="F35" s="3630"/>
    </row>
    <row r="36" spans="1:6">
      <c r="A36" s="3676"/>
      <c r="B36" s="3676"/>
      <c r="C36" s="3637"/>
      <c r="F36" s="3630"/>
    </row>
    <row r="37" spans="1:6">
      <c r="A37" s="3676"/>
      <c r="B37" s="3676"/>
      <c r="C37" s="3637"/>
      <c r="F37" s="3630"/>
    </row>
    <row r="38" spans="1:6">
      <c r="C38" s="3637"/>
      <c r="F38" s="3630"/>
    </row>
    <row r="39" spans="1:6">
      <c r="C39" s="3637"/>
      <c r="F39" s="3630"/>
    </row>
    <row r="40" spans="1:6">
      <c r="C40" s="3637"/>
      <c r="F40" s="3630"/>
    </row>
    <row r="41" spans="1:6">
      <c r="C41" s="3637"/>
      <c r="F41" s="3630"/>
    </row>
    <row r="42" spans="1:6">
      <c r="C42" s="3637"/>
      <c r="F42" s="3630"/>
    </row>
    <row r="43" spans="1:6">
      <c r="C43" s="3637"/>
      <c r="F43" s="3630"/>
    </row>
    <row r="44" spans="1:6">
      <c r="C44" s="3637"/>
      <c r="F44" s="3630"/>
    </row>
    <row r="45" spans="1:6">
      <c r="C45" s="3637"/>
      <c r="F45" s="3630"/>
    </row>
    <row r="46" spans="1:6">
      <c r="C46" s="3637"/>
      <c r="F46" s="3630"/>
    </row>
    <row r="47" spans="1:6">
      <c r="C47" s="3637"/>
      <c r="F47" s="3630"/>
    </row>
    <row r="48" spans="1:6">
      <c r="C48" s="3637"/>
      <c r="F48" s="3630"/>
    </row>
    <row r="49" spans="3:6">
      <c r="C49" s="3637"/>
      <c r="F49" s="3630"/>
    </row>
    <row r="50" spans="3:6">
      <c r="C50" s="3637"/>
      <c r="F50" s="3630"/>
    </row>
    <row r="51" spans="3:6">
      <c r="C51" s="3637"/>
      <c r="F51" s="3630"/>
    </row>
    <row r="52" spans="3:6">
      <c r="C52" s="3637"/>
      <c r="F52" s="3630"/>
    </row>
    <row r="53" spans="3:6">
      <c r="C53" s="3637"/>
      <c r="F53" s="3630"/>
    </row>
    <row r="140" spans="3:3">
      <c r="C140" s="3633" t="s">
        <v>1424</v>
      </c>
    </row>
    <row r="181" spans="4:4">
      <c r="D181" s="3635">
        <f>115000000+12000000</f>
        <v>127000000</v>
      </c>
    </row>
    <row r="289" spans="4:4">
      <c r="D289" s="3635"/>
    </row>
    <row r="534" spans="17:17">
      <c r="Q534" s="1344">
        <f>P534-O534</f>
        <v>0</v>
      </c>
    </row>
  </sheetData>
  <sheetProtection algorithmName="SHA-512" hashValue="VHWb2EkG6zxKX/Rt12CxEpYaP1b5m9w5lzwzyMq8O0xJaChxgGQQ+DCLsUW0z1L2ow1d6CaNYk5EdMA98SKBBQ==" saltValue="1fUs5EU7dsDjxwfRzINQ1w==" spinCount="100000" sheet="1" objects="1" scenarios="1"/>
  <mergeCells count="28">
    <mergeCell ref="E1:G1"/>
    <mergeCell ref="A2:G2"/>
    <mergeCell ref="A3:A4"/>
    <mergeCell ref="B3:B4"/>
    <mergeCell ref="C3:C4"/>
    <mergeCell ref="D3:D4"/>
    <mergeCell ref="E3:E4"/>
    <mergeCell ref="F3:G3"/>
    <mergeCell ref="A5:A8"/>
    <mergeCell ref="B5:D5"/>
    <mergeCell ref="B6:B8"/>
    <mergeCell ref="C6:D6"/>
    <mergeCell ref="A9:A12"/>
    <mergeCell ref="B9:D9"/>
    <mergeCell ref="B10:B12"/>
    <mergeCell ref="C10:D10"/>
    <mergeCell ref="A24:D24"/>
    <mergeCell ref="A30:F30"/>
    <mergeCell ref="A13:A16"/>
    <mergeCell ref="B13:D13"/>
    <mergeCell ref="B14:B16"/>
    <mergeCell ref="C14:D14"/>
    <mergeCell ref="A17:A23"/>
    <mergeCell ref="B17:D17"/>
    <mergeCell ref="B18:B20"/>
    <mergeCell ref="C18:D18"/>
    <mergeCell ref="B21:B23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55F7-D11A-47F3-9150-0219D6A8B279}">
  <sheetPr>
    <tabColor rgb="FF99FF33"/>
    <pageSetUpPr fitToPage="1"/>
  </sheetPr>
  <dimension ref="A1:Q530"/>
  <sheetViews>
    <sheetView view="pageBreakPreview" zoomScale="115" zoomScaleNormal="100" zoomScaleSheetLayoutView="115" workbookViewId="0">
      <selection activeCell="I31" sqref="I31"/>
    </sheetView>
  </sheetViews>
  <sheetFormatPr defaultRowHeight="12.75"/>
  <cols>
    <col min="1" max="1" width="5.85546875" style="1622" customWidth="1"/>
    <col min="2" max="2" width="49.7109375" style="1622" customWidth="1"/>
    <col min="3" max="4" width="14.5703125" style="1622" customWidth="1"/>
    <col min="5" max="5" width="9" style="1622" customWidth="1"/>
    <col min="6" max="256" width="9.140625" style="1622"/>
    <col min="257" max="257" width="5.85546875" style="1622" customWidth="1"/>
    <col min="258" max="258" width="45.42578125" style="1622" customWidth="1"/>
    <col min="259" max="260" width="14.5703125" style="1622" customWidth="1"/>
    <col min="261" max="261" width="9" style="1622" customWidth="1"/>
    <col min="262" max="512" width="9.140625" style="1622"/>
    <col min="513" max="513" width="5.85546875" style="1622" customWidth="1"/>
    <col min="514" max="514" width="45.42578125" style="1622" customWidth="1"/>
    <col min="515" max="516" width="14.5703125" style="1622" customWidth="1"/>
    <col min="517" max="517" width="9" style="1622" customWidth="1"/>
    <col min="518" max="768" width="9.140625" style="1622"/>
    <col min="769" max="769" width="5.85546875" style="1622" customWidth="1"/>
    <col min="770" max="770" width="45.42578125" style="1622" customWidth="1"/>
    <col min="771" max="772" width="14.5703125" style="1622" customWidth="1"/>
    <col min="773" max="773" width="9" style="1622" customWidth="1"/>
    <col min="774" max="1024" width="9.140625" style="1622"/>
    <col min="1025" max="1025" width="5.85546875" style="1622" customWidth="1"/>
    <col min="1026" max="1026" width="45.42578125" style="1622" customWidth="1"/>
    <col min="1027" max="1028" width="14.5703125" style="1622" customWidth="1"/>
    <col min="1029" max="1029" width="9" style="1622" customWidth="1"/>
    <col min="1030" max="1280" width="9.140625" style="1622"/>
    <col min="1281" max="1281" width="5.85546875" style="1622" customWidth="1"/>
    <col min="1282" max="1282" width="45.42578125" style="1622" customWidth="1"/>
    <col min="1283" max="1284" width="14.5703125" style="1622" customWidth="1"/>
    <col min="1285" max="1285" width="9" style="1622" customWidth="1"/>
    <col min="1286" max="1536" width="9.140625" style="1622"/>
    <col min="1537" max="1537" width="5.85546875" style="1622" customWidth="1"/>
    <col min="1538" max="1538" width="45.42578125" style="1622" customWidth="1"/>
    <col min="1539" max="1540" width="14.5703125" style="1622" customWidth="1"/>
    <col min="1541" max="1541" width="9" style="1622" customWidth="1"/>
    <col min="1542" max="1792" width="9.140625" style="1622"/>
    <col min="1793" max="1793" width="5.85546875" style="1622" customWidth="1"/>
    <col min="1794" max="1794" width="45.42578125" style="1622" customWidth="1"/>
    <col min="1795" max="1796" width="14.5703125" style="1622" customWidth="1"/>
    <col min="1797" max="1797" width="9" style="1622" customWidth="1"/>
    <col min="1798" max="2048" width="9.140625" style="1622"/>
    <col min="2049" max="2049" width="5.85546875" style="1622" customWidth="1"/>
    <col min="2050" max="2050" width="45.42578125" style="1622" customWidth="1"/>
    <col min="2051" max="2052" width="14.5703125" style="1622" customWidth="1"/>
    <col min="2053" max="2053" width="9" style="1622" customWidth="1"/>
    <col min="2054" max="2304" width="9.140625" style="1622"/>
    <col min="2305" max="2305" width="5.85546875" style="1622" customWidth="1"/>
    <col min="2306" max="2306" width="45.42578125" style="1622" customWidth="1"/>
    <col min="2307" max="2308" width="14.5703125" style="1622" customWidth="1"/>
    <col min="2309" max="2309" width="9" style="1622" customWidth="1"/>
    <col min="2310" max="2560" width="9.140625" style="1622"/>
    <col min="2561" max="2561" width="5.85546875" style="1622" customWidth="1"/>
    <col min="2562" max="2562" width="45.42578125" style="1622" customWidth="1"/>
    <col min="2563" max="2564" width="14.5703125" style="1622" customWidth="1"/>
    <col min="2565" max="2565" width="9" style="1622" customWidth="1"/>
    <col min="2566" max="2816" width="9.140625" style="1622"/>
    <col min="2817" max="2817" width="5.85546875" style="1622" customWidth="1"/>
    <col min="2818" max="2818" width="45.42578125" style="1622" customWidth="1"/>
    <col min="2819" max="2820" width="14.5703125" style="1622" customWidth="1"/>
    <col min="2821" max="2821" width="9" style="1622" customWidth="1"/>
    <col min="2822" max="3072" width="9.140625" style="1622"/>
    <col min="3073" max="3073" width="5.85546875" style="1622" customWidth="1"/>
    <col min="3074" max="3074" width="45.42578125" style="1622" customWidth="1"/>
    <col min="3075" max="3076" width="14.5703125" style="1622" customWidth="1"/>
    <col min="3077" max="3077" width="9" style="1622" customWidth="1"/>
    <col min="3078" max="3328" width="9.140625" style="1622"/>
    <col min="3329" max="3329" width="5.85546875" style="1622" customWidth="1"/>
    <col min="3330" max="3330" width="45.42578125" style="1622" customWidth="1"/>
    <col min="3331" max="3332" width="14.5703125" style="1622" customWidth="1"/>
    <col min="3333" max="3333" width="9" style="1622" customWidth="1"/>
    <col min="3334" max="3584" width="9.140625" style="1622"/>
    <col min="3585" max="3585" width="5.85546875" style="1622" customWidth="1"/>
    <col min="3586" max="3586" width="45.42578125" style="1622" customWidth="1"/>
    <col min="3587" max="3588" width="14.5703125" style="1622" customWidth="1"/>
    <col min="3589" max="3589" width="9" style="1622" customWidth="1"/>
    <col min="3590" max="3840" width="9.140625" style="1622"/>
    <col min="3841" max="3841" width="5.85546875" style="1622" customWidth="1"/>
    <col min="3842" max="3842" width="45.42578125" style="1622" customWidth="1"/>
    <col min="3843" max="3844" width="14.5703125" style="1622" customWidth="1"/>
    <col min="3845" max="3845" width="9" style="1622" customWidth="1"/>
    <col min="3846" max="4096" width="9.140625" style="1622"/>
    <col min="4097" max="4097" width="5.85546875" style="1622" customWidth="1"/>
    <col min="4098" max="4098" width="45.42578125" style="1622" customWidth="1"/>
    <col min="4099" max="4100" width="14.5703125" style="1622" customWidth="1"/>
    <col min="4101" max="4101" width="9" style="1622" customWidth="1"/>
    <col min="4102" max="4352" width="9.140625" style="1622"/>
    <col min="4353" max="4353" width="5.85546875" style="1622" customWidth="1"/>
    <col min="4354" max="4354" width="45.42578125" style="1622" customWidth="1"/>
    <col min="4355" max="4356" width="14.5703125" style="1622" customWidth="1"/>
    <col min="4357" max="4357" width="9" style="1622" customWidth="1"/>
    <col min="4358" max="4608" width="9.140625" style="1622"/>
    <col min="4609" max="4609" width="5.85546875" style="1622" customWidth="1"/>
    <col min="4610" max="4610" width="45.42578125" style="1622" customWidth="1"/>
    <col min="4611" max="4612" width="14.5703125" style="1622" customWidth="1"/>
    <col min="4613" max="4613" width="9" style="1622" customWidth="1"/>
    <col min="4614" max="4864" width="9.140625" style="1622"/>
    <col min="4865" max="4865" width="5.85546875" style="1622" customWidth="1"/>
    <col min="4866" max="4866" width="45.42578125" style="1622" customWidth="1"/>
    <col min="4867" max="4868" width="14.5703125" style="1622" customWidth="1"/>
    <col min="4869" max="4869" width="9" style="1622" customWidth="1"/>
    <col min="4870" max="5120" width="9.140625" style="1622"/>
    <col min="5121" max="5121" width="5.85546875" style="1622" customWidth="1"/>
    <col min="5122" max="5122" width="45.42578125" style="1622" customWidth="1"/>
    <col min="5123" max="5124" width="14.5703125" style="1622" customWidth="1"/>
    <col min="5125" max="5125" width="9" style="1622" customWidth="1"/>
    <col min="5126" max="5376" width="9.140625" style="1622"/>
    <col min="5377" max="5377" width="5.85546875" style="1622" customWidth="1"/>
    <col min="5378" max="5378" width="45.42578125" style="1622" customWidth="1"/>
    <col min="5379" max="5380" width="14.5703125" style="1622" customWidth="1"/>
    <col min="5381" max="5381" width="9" style="1622" customWidth="1"/>
    <col min="5382" max="5632" width="9.140625" style="1622"/>
    <col min="5633" max="5633" width="5.85546875" style="1622" customWidth="1"/>
    <col min="5634" max="5634" width="45.42578125" style="1622" customWidth="1"/>
    <col min="5635" max="5636" width="14.5703125" style="1622" customWidth="1"/>
    <col min="5637" max="5637" width="9" style="1622" customWidth="1"/>
    <col min="5638" max="5888" width="9.140625" style="1622"/>
    <col min="5889" max="5889" width="5.85546875" style="1622" customWidth="1"/>
    <col min="5890" max="5890" width="45.42578125" style="1622" customWidth="1"/>
    <col min="5891" max="5892" width="14.5703125" style="1622" customWidth="1"/>
    <col min="5893" max="5893" width="9" style="1622" customWidth="1"/>
    <col min="5894" max="6144" width="9.140625" style="1622"/>
    <col min="6145" max="6145" width="5.85546875" style="1622" customWidth="1"/>
    <col min="6146" max="6146" width="45.42578125" style="1622" customWidth="1"/>
    <col min="6147" max="6148" width="14.5703125" style="1622" customWidth="1"/>
    <col min="6149" max="6149" width="9" style="1622" customWidth="1"/>
    <col min="6150" max="6400" width="9.140625" style="1622"/>
    <col min="6401" max="6401" width="5.85546875" style="1622" customWidth="1"/>
    <col min="6402" max="6402" width="45.42578125" style="1622" customWidth="1"/>
    <col min="6403" max="6404" width="14.5703125" style="1622" customWidth="1"/>
    <col min="6405" max="6405" width="9" style="1622" customWidth="1"/>
    <col min="6406" max="6656" width="9.140625" style="1622"/>
    <col min="6657" max="6657" width="5.85546875" style="1622" customWidth="1"/>
    <col min="6658" max="6658" width="45.42578125" style="1622" customWidth="1"/>
    <col min="6659" max="6660" width="14.5703125" style="1622" customWidth="1"/>
    <col min="6661" max="6661" width="9" style="1622" customWidth="1"/>
    <col min="6662" max="6912" width="9.140625" style="1622"/>
    <col min="6913" max="6913" width="5.85546875" style="1622" customWidth="1"/>
    <col min="6914" max="6914" width="45.42578125" style="1622" customWidth="1"/>
    <col min="6915" max="6916" width="14.5703125" style="1622" customWidth="1"/>
    <col min="6917" max="6917" width="9" style="1622" customWidth="1"/>
    <col min="6918" max="7168" width="9.140625" style="1622"/>
    <col min="7169" max="7169" width="5.85546875" style="1622" customWidth="1"/>
    <col min="7170" max="7170" width="45.42578125" style="1622" customWidth="1"/>
    <col min="7171" max="7172" width="14.5703125" style="1622" customWidth="1"/>
    <col min="7173" max="7173" width="9" style="1622" customWidth="1"/>
    <col min="7174" max="7424" width="9.140625" style="1622"/>
    <col min="7425" max="7425" width="5.85546875" style="1622" customWidth="1"/>
    <col min="7426" max="7426" width="45.42578125" style="1622" customWidth="1"/>
    <col min="7427" max="7428" width="14.5703125" style="1622" customWidth="1"/>
    <col min="7429" max="7429" width="9" style="1622" customWidth="1"/>
    <col min="7430" max="7680" width="9.140625" style="1622"/>
    <col min="7681" max="7681" width="5.85546875" style="1622" customWidth="1"/>
    <col min="7682" max="7682" width="45.42578125" style="1622" customWidth="1"/>
    <col min="7683" max="7684" width="14.5703125" style="1622" customWidth="1"/>
    <col min="7685" max="7685" width="9" style="1622" customWidth="1"/>
    <col min="7686" max="7936" width="9.140625" style="1622"/>
    <col min="7937" max="7937" width="5.85546875" style="1622" customWidth="1"/>
    <col min="7938" max="7938" width="45.42578125" style="1622" customWidth="1"/>
    <col min="7939" max="7940" width="14.5703125" style="1622" customWidth="1"/>
    <col min="7941" max="7941" width="9" style="1622" customWidth="1"/>
    <col min="7942" max="8192" width="9.140625" style="1622"/>
    <col min="8193" max="8193" width="5.85546875" style="1622" customWidth="1"/>
    <col min="8194" max="8194" width="45.42578125" style="1622" customWidth="1"/>
    <col min="8195" max="8196" width="14.5703125" style="1622" customWidth="1"/>
    <col min="8197" max="8197" width="9" style="1622" customWidth="1"/>
    <col min="8198" max="8448" width="9.140625" style="1622"/>
    <col min="8449" max="8449" width="5.85546875" style="1622" customWidth="1"/>
    <col min="8450" max="8450" width="45.42578125" style="1622" customWidth="1"/>
    <col min="8451" max="8452" width="14.5703125" style="1622" customWidth="1"/>
    <col min="8453" max="8453" width="9" style="1622" customWidth="1"/>
    <col min="8454" max="8704" width="9.140625" style="1622"/>
    <col min="8705" max="8705" width="5.85546875" style="1622" customWidth="1"/>
    <col min="8706" max="8706" width="45.42578125" style="1622" customWidth="1"/>
    <col min="8707" max="8708" width="14.5703125" style="1622" customWidth="1"/>
    <col min="8709" max="8709" width="9" style="1622" customWidth="1"/>
    <col min="8710" max="8960" width="9.140625" style="1622"/>
    <col min="8961" max="8961" width="5.85546875" style="1622" customWidth="1"/>
    <col min="8962" max="8962" width="45.42578125" style="1622" customWidth="1"/>
    <col min="8963" max="8964" width="14.5703125" style="1622" customWidth="1"/>
    <col min="8965" max="8965" width="9" style="1622" customWidth="1"/>
    <col min="8966" max="9216" width="9.140625" style="1622"/>
    <col min="9217" max="9217" width="5.85546875" style="1622" customWidth="1"/>
    <col min="9218" max="9218" width="45.42578125" style="1622" customWidth="1"/>
    <col min="9219" max="9220" width="14.5703125" style="1622" customWidth="1"/>
    <col min="9221" max="9221" width="9" style="1622" customWidth="1"/>
    <col min="9222" max="9472" width="9.140625" style="1622"/>
    <col min="9473" max="9473" width="5.85546875" style="1622" customWidth="1"/>
    <col min="9474" max="9474" width="45.42578125" style="1622" customWidth="1"/>
    <col min="9475" max="9476" width="14.5703125" style="1622" customWidth="1"/>
    <col min="9477" max="9477" width="9" style="1622" customWidth="1"/>
    <col min="9478" max="9728" width="9.140625" style="1622"/>
    <col min="9729" max="9729" width="5.85546875" style="1622" customWidth="1"/>
    <col min="9730" max="9730" width="45.42578125" style="1622" customWidth="1"/>
    <col min="9731" max="9732" width="14.5703125" style="1622" customWidth="1"/>
    <col min="9733" max="9733" width="9" style="1622" customWidth="1"/>
    <col min="9734" max="9984" width="9.140625" style="1622"/>
    <col min="9985" max="9985" width="5.85546875" style="1622" customWidth="1"/>
    <col min="9986" max="9986" width="45.42578125" style="1622" customWidth="1"/>
    <col min="9987" max="9988" width="14.5703125" style="1622" customWidth="1"/>
    <col min="9989" max="9989" width="9" style="1622" customWidth="1"/>
    <col min="9990" max="10240" width="9.140625" style="1622"/>
    <col min="10241" max="10241" width="5.85546875" style="1622" customWidth="1"/>
    <col min="10242" max="10242" width="45.42578125" style="1622" customWidth="1"/>
    <col min="10243" max="10244" width="14.5703125" style="1622" customWidth="1"/>
    <col min="10245" max="10245" width="9" style="1622" customWidth="1"/>
    <col min="10246" max="10496" width="9.140625" style="1622"/>
    <col min="10497" max="10497" width="5.85546875" style="1622" customWidth="1"/>
    <col min="10498" max="10498" width="45.42578125" style="1622" customWidth="1"/>
    <col min="10499" max="10500" width="14.5703125" style="1622" customWidth="1"/>
    <col min="10501" max="10501" width="9" style="1622" customWidth="1"/>
    <col min="10502" max="10752" width="9.140625" style="1622"/>
    <col min="10753" max="10753" width="5.85546875" style="1622" customWidth="1"/>
    <col min="10754" max="10754" width="45.42578125" style="1622" customWidth="1"/>
    <col min="10755" max="10756" width="14.5703125" style="1622" customWidth="1"/>
    <col min="10757" max="10757" width="9" style="1622" customWidth="1"/>
    <col min="10758" max="11008" width="9.140625" style="1622"/>
    <col min="11009" max="11009" width="5.85546875" style="1622" customWidth="1"/>
    <col min="11010" max="11010" width="45.42578125" style="1622" customWidth="1"/>
    <col min="11011" max="11012" width="14.5703125" style="1622" customWidth="1"/>
    <col min="11013" max="11013" width="9" style="1622" customWidth="1"/>
    <col min="11014" max="11264" width="9.140625" style="1622"/>
    <col min="11265" max="11265" width="5.85546875" style="1622" customWidth="1"/>
    <col min="11266" max="11266" width="45.42578125" style="1622" customWidth="1"/>
    <col min="11267" max="11268" width="14.5703125" style="1622" customWidth="1"/>
    <col min="11269" max="11269" width="9" style="1622" customWidth="1"/>
    <col min="11270" max="11520" width="9.140625" style="1622"/>
    <col min="11521" max="11521" width="5.85546875" style="1622" customWidth="1"/>
    <col min="11522" max="11522" width="45.42578125" style="1622" customWidth="1"/>
    <col min="11523" max="11524" width="14.5703125" style="1622" customWidth="1"/>
    <col min="11525" max="11525" width="9" style="1622" customWidth="1"/>
    <col min="11526" max="11776" width="9.140625" style="1622"/>
    <col min="11777" max="11777" width="5.85546875" style="1622" customWidth="1"/>
    <col min="11778" max="11778" width="45.42578125" style="1622" customWidth="1"/>
    <col min="11779" max="11780" width="14.5703125" style="1622" customWidth="1"/>
    <col min="11781" max="11781" width="9" style="1622" customWidth="1"/>
    <col min="11782" max="12032" width="9.140625" style="1622"/>
    <col min="12033" max="12033" width="5.85546875" style="1622" customWidth="1"/>
    <col min="12034" max="12034" width="45.42578125" style="1622" customWidth="1"/>
    <col min="12035" max="12036" width="14.5703125" style="1622" customWidth="1"/>
    <col min="12037" max="12037" width="9" style="1622" customWidth="1"/>
    <col min="12038" max="12288" width="9.140625" style="1622"/>
    <col min="12289" max="12289" width="5.85546875" style="1622" customWidth="1"/>
    <col min="12290" max="12290" width="45.42578125" style="1622" customWidth="1"/>
    <col min="12291" max="12292" width="14.5703125" style="1622" customWidth="1"/>
    <col min="12293" max="12293" width="9" style="1622" customWidth="1"/>
    <col min="12294" max="12544" width="9.140625" style="1622"/>
    <col min="12545" max="12545" width="5.85546875" style="1622" customWidth="1"/>
    <col min="12546" max="12546" width="45.42578125" style="1622" customWidth="1"/>
    <col min="12547" max="12548" width="14.5703125" style="1622" customWidth="1"/>
    <col min="12549" max="12549" width="9" style="1622" customWidth="1"/>
    <col min="12550" max="12800" width="9.140625" style="1622"/>
    <col min="12801" max="12801" width="5.85546875" style="1622" customWidth="1"/>
    <col min="12802" max="12802" width="45.42578125" style="1622" customWidth="1"/>
    <col min="12803" max="12804" width="14.5703125" style="1622" customWidth="1"/>
    <col min="12805" max="12805" width="9" style="1622" customWidth="1"/>
    <col min="12806" max="13056" width="9.140625" style="1622"/>
    <col min="13057" max="13057" width="5.85546875" style="1622" customWidth="1"/>
    <col min="13058" max="13058" width="45.42578125" style="1622" customWidth="1"/>
    <col min="13059" max="13060" width="14.5703125" style="1622" customWidth="1"/>
    <col min="13061" max="13061" width="9" style="1622" customWidth="1"/>
    <col min="13062" max="13312" width="9.140625" style="1622"/>
    <col min="13313" max="13313" width="5.85546875" style="1622" customWidth="1"/>
    <col min="13314" max="13314" width="45.42578125" style="1622" customWidth="1"/>
    <col min="13315" max="13316" width="14.5703125" style="1622" customWidth="1"/>
    <col min="13317" max="13317" width="9" style="1622" customWidth="1"/>
    <col min="13318" max="13568" width="9.140625" style="1622"/>
    <col min="13569" max="13569" width="5.85546875" style="1622" customWidth="1"/>
    <col min="13570" max="13570" width="45.42578125" style="1622" customWidth="1"/>
    <col min="13571" max="13572" width="14.5703125" style="1622" customWidth="1"/>
    <col min="13573" max="13573" width="9" style="1622" customWidth="1"/>
    <col min="13574" max="13824" width="9.140625" style="1622"/>
    <col min="13825" max="13825" width="5.85546875" style="1622" customWidth="1"/>
    <col min="13826" max="13826" width="45.42578125" style="1622" customWidth="1"/>
    <col min="13827" max="13828" width="14.5703125" style="1622" customWidth="1"/>
    <col min="13829" max="13829" width="9" style="1622" customWidth="1"/>
    <col min="13830" max="14080" width="9.140625" style="1622"/>
    <col min="14081" max="14081" width="5.85546875" style="1622" customWidth="1"/>
    <col min="14082" max="14082" width="45.42578125" style="1622" customWidth="1"/>
    <col min="14083" max="14084" width="14.5703125" style="1622" customWidth="1"/>
    <col min="14085" max="14085" width="9" style="1622" customWidth="1"/>
    <col min="14086" max="14336" width="9.140625" style="1622"/>
    <col min="14337" max="14337" width="5.85546875" style="1622" customWidth="1"/>
    <col min="14338" max="14338" width="45.42578125" style="1622" customWidth="1"/>
    <col min="14339" max="14340" width="14.5703125" style="1622" customWidth="1"/>
    <col min="14341" max="14341" width="9" style="1622" customWidth="1"/>
    <col min="14342" max="14592" width="9.140625" style="1622"/>
    <col min="14593" max="14593" width="5.85546875" style="1622" customWidth="1"/>
    <col min="14594" max="14594" width="45.42578125" style="1622" customWidth="1"/>
    <col min="14595" max="14596" width="14.5703125" style="1622" customWidth="1"/>
    <col min="14597" max="14597" width="9" style="1622" customWidth="1"/>
    <col min="14598" max="14848" width="9.140625" style="1622"/>
    <col min="14849" max="14849" width="5.85546875" style="1622" customWidth="1"/>
    <col min="14850" max="14850" width="45.42578125" style="1622" customWidth="1"/>
    <col min="14851" max="14852" width="14.5703125" style="1622" customWidth="1"/>
    <col min="14853" max="14853" width="9" style="1622" customWidth="1"/>
    <col min="14854" max="15104" width="9.140625" style="1622"/>
    <col min="15105" max="15105" width="5.85546875" style="1622" customWidth="1"/>
    <col min="15106" max="15106" width="45.42578125" style="1622" customWidth="1"/>
    <col min="15107" max="15108" width="14.5703125" style="1622" customWidth="1"/>
    <col min="15109" max="15109" width="9" style="1622" customWidth="1"/>
    <col min="15110" max="15360" width="9.140625" style="1622"/>
    <col min="15361" max="15361" width="5.85546875" style="1622" customWidth="1"/>
    <col min="15362" max="15362" width="45.42578125" style="1622" customWidth="1"/>
    <col min="15363" max="15364" width="14.5703125" style="1622" customWidth="1"/>
    <col min="15365" max="15365" width="9" style="1622" customWidth="1"/>
    <col min="15366" max="15616" width="9.140625" style="1622"/>
    <col min="15617" max="15617" width="5.85546875" style="1622" customWidth="1"/>
    <col min="15618" max="15618" width="45.42578125" style="1622" customWidth="1"/>
    <col min="15619" max="15620" width="14.5703125" style="1622" customWidth="1"/>
    <col min="15621" max="15621" width="9" style="1622" customWidth="1"/>
    <col min="15622" max="15872" width="9.140625" style="1622"/>
    <col min="15873" max="15873" width="5.85546875" style="1622" customWidth="1"/>
    <col min="15874" max="15874" width="45.42578125" style="1622" customWidth="1"/>
    <col min="15875" max="15876" width="14.5703125" style="1622" customWidth="1"/>
    <col min="15877" max="15877" width="9" style="1622" customWidth="1"/>
    <col min="15878" max="16128" width="9.140625" style="1622"/>
    <col min="16129" max="16129" width="5.85546875" style="1622" customWidth="1"/>
    <col min="16130" max="16130" width="45.42578125" style="1622" customWidth="1"/>
    <col min="16131" max="16132" width="14.5703125" style="1622" customWidth="1"/>
    <col min="16133" max="16133" width="9" style="1622" customWidth="1"/>
    <col min="16134" max="16384" width="9.140625" style="1622"/>
  </cols>
  <sheetData>
    <row r="1" spans="1:5" ht="76.5" customHeight="1">
      <c r="A1" s="1659"/>
      <c r="B1" s="5081" t="s">
        <v>1464</v>
      </c>
      <c r="C1" s="5081"/>
      <c r="D1" s="5081"/>
    </row>
    <row r="2" spans="1:5" ht="63" customHeight="1" thickBot="1">
      <c r="A2" s="5082" t="s">
        <v>907</v>
      </c>
      <c r="B2" s="5082"/>
      <c r="C2" s="5082"/>
      <c r="D2" s="5082"/>
    </row>
    <row r="3" spans="1:5" ht="22.5" customHeight="1" thickBot="1">
      <c r="A3" s="1658" t="s">
        <v>653</v>
      </c>
      <c r="B3" s="1638" t="s">
        <v>906</v>
      </c>
      <c r="C3" s="1658" t="s">
        <v>905</v>
      </c>
      <c r="D3" s="1657" t="s">
        <v>904</v>
      </c>
    </row>
    <row r="4" spans="1:5" ht="15" customHeight="1" thickBot="1">
      <c r="A4" s="1638"/>
      <c r="B4" s="1637" t="s">
        <v>903</v>
      </c>
      <c r="C4" s="1636">
        <f>SUM(C5,C8,C14,C16)</f>
        <v>1962736</v>
      </c>
      <c r="D4" s="1636">
        <f>SUM(D5,D8,D14,D16)</f>
        <v>1962736</v>
      </c>
    </row>
    <row r="5" spans="1:5" ht="15" customHeight="1" thickBot="1">
      <c r="A5" s="5077" t="s">
        <v>902</v>
      </c>
      <c r="B5" s="5078"/>
      <c r="C5" s="1656">
        <f>SUM(C6:C7)</f>
        <v>3020</v>
      </c>
      <c r="D5" s="1655">
        <f>SUM(D6:D7)</f>
        <v>3020</v>
      </c>
    </row>
    <row r="6" spans="1:5" ht="26.25" customHeight="1">
      <c r="A6" s="1654">
        <v>1</v>
      </c>
      <c r="B6" s="1653" t="s">
        <v>901</v>
      </c>
      <c r="C6" s="1630">
        <v>20</v>
      </c>
      <c r="D6" s="1652">
        <v>20</v>
      </c>
      <c r="E6" s="1628"/>
    </row>
    <row r="7" spans="1:5" ht="15" customHeight="1" thickBot="1">
      <c r="A7" s="1643">
        <v>2</v>
      </c>
      <c r="B7" s="1651" t="s">
        <v>900</v>
      </c>
      <c r="C7" s="1641">
        <v>3000</v>
      </c>
      <c r="D7" s="1650">
        <v>3000</v>
      </c>
      <c r="E7" s="1628"/>
    </row>
    <row r="8" spans="1:5" ht="15" customHeight="1" thickBot="1">
      <c r="A8" s="5077" t="s">
        <v>899</v>
      </c>
      <c r="B8" s="5078"/>
      <c r="C8" s="1634">
        <f>SUM(C9:C13)</f>
        <v>351598</v>
      </c>
      <c r="D8" s="1633">
        <f>SUM(D9:D13)</f>
        <v>351598</v>
      </c>
      <c r="E8" s="1628"/>
    </row>
    <row r="9" spans="1:5" ht="27" customHeight="1">
      <c r="A9" s="1649">
        <v>1</v>
      </c>
      <c r="B9" s="1648" t="s">
        <v>898</v>
      </c>
      <c r="C9" s="1647">
        <v>62000</v>
      </c>
      <c r="D9" s="1647">
        <v>62000</v>
      </c>
      <c r="E9" s="1628"/>
    </row>
    <row r="10" spans="1:5" ht="27" customHeight="1">
      <c r="A10" s="1646">
        <v>2</v>
      </c>
      <c r="B10" s="1645" t="s">
        <v>897</v>
      </c>
      <c r="C10" s="1644">
        <v>8534</v>
      </c>
      <c r="D10" s="1644">
        <v>8534</v>
      </c>
      <c r="E10" s="1628"/>
    </row>
    <row r="11" spans="1:5" ht="27" customHeight="1">
      <c r="A11" s="1646">
        <v>3</v>
      </c>
      <c r="B11" s="1645" t="s">
        <v>896</v>
      </c>
      <c r="C11" s="1644">
        <v>500</v>
      </c>
      <c r="D11" s="1644">
        <v>500</v>
      </c>
      <c r="E11" s="1628"/>
    </row>
    <row r="12" spans="1:5" ht="27" customHeight="1">
      <c r="A12" s="1646">
        <v>4</v>
      </c>
      <c r="B12" s="1645" t="s">
        <v>895</v>
      </c>
      <c r="C12" s="1644">
        <v>86600</v>
      </c>
      <c r="D12" s="1644">
        <v>86600</v>
      </c>
      <c r="E12" s="1628"/>
    </row>
    <row r="13" spans="1:5" s="1640" customFormat="1" ht="27.75" customHeight="1" thickBot="1">
      <c r="A13" s="1643">
        <v>5</v>
      </c>
      <c r="B13" s="1642" t="s">
        <v>890</v>
      </c>
      <c r="C13" s="1641">
        <v>193964</v>
      </c>
      <c r="D13" s="1641">
        <v>193964</v>
      </c>
      <c r="E13" s="1628"/>
    </row>
    <row r="14" spans="1:5" ht="15" customHeight="1" thickBot="1">
      <c r="A14" s="5077" t="s">
        <v>894</v>
      </c>
      <c r="B14" s="5078"/>
      <c r="C14" s="1634">
        <f>SUM(C15)</f>
        <v>1305918</v>
      </c>
      <c r="D14" s="1633">
        <f>SUM(D15)</f>
        <v>1305918</v>
      </c>
      <c r="E14" s="1628"/>
    </row>
    <row r="15" spans="1:5" ht="15.75" customHeight="1" thickBot="1">
      <c r="A15" s="1639">
        <v>1</v>
      </c>
      <c r="B15" s="1631" t="s">
        <v>888</v>
      </c>
      <c r="C15" s="1630">
        <v>1305918</v>
      </c>
      <c r="D15" s="1630">
        <v>1305918</v>
      </c>
      <c r="E15" s="1628"/>
    </row>
    <row r="16" spans="1:5" ht="15" customHeight="1" thickBot="1">
      <c r="A16" s="5077" t="s">
        <v>893</v>
      </c>
      <c r="B16" s="5078"/>
      <c r="C16" s="1634">
        <f>SUM(C17)</f>
        <v>302200</v>
      </c>
      <c r="D16" s="1633">
        <f>SUM(D17)</f>
        <v>302200</v>
      </c>
      <c r="E16" s="1628"/>
    </row>
    <row r="17" spans="1:5" ht="15.75" customHeight="1" thickBot="1">
      <c r="A17" s="1639">
        <v>1</v>
      </c>
      <c r="B17" s="1631" t="s">
        <v>888</v>
      </c>
      <c r="C17" s="1630">
        <v>302200</v>
      </c>
      <c r="D17" s="1630">
        <v>302200</v>
      </c>
      <c r="E17" s="1628"/>
    </row>
    <row r="18" spans="1:5" ht="15" customHeight="1" thickBot="1">
      <c r="A18" s="1638"/>
      <c r="B18" s="1637" t="s">
        <v>892</v>
      </c>
      <c r="C18" s="1636">
        <f>SUM(C19,C21)</f>
        <v>1176853</v>
      </c>
      <c r="D18" s="1636">
        <f>SUM(D19,D21)</f>
        <v>1176853</v>
      </c>
      <c r="E18" s="1628"/>
    </row>
    <row r="19" spans="1:5" ht="15" customHeight="1" thickBot="1">
      <c r="A19" s="5077" t="s">
        <v>891</v>
      </c>
      <c r="B19" s="5078"/>
      <c r="C19" s="1634">
        <f>SUM(C20:C20)</f>
        <v>334600</v>
      </c>
      <c r="D19" s="1633">
        <f>SUM(D20:D20)</f>
        <v>334600</v>
      </c>
      <c r="E19" s="1628"/>
    </row>
    <row r="20" spans="1:5" ht="29.25" customHeight="1" thickBot="1">
      <c r="A20" s="1632">
        <v>1</v>
      </c>
      <c r="B20" s="1635" t="s">
        <v>890</v>
      </c>
      <c r="C20" s="1630">
        <v>334600</v>
      </c>
      <c r="D20" s="1630">
        <v>334600</v>
      </c>
      <c r="E20" s="1628"/>
    </row>
    <row r="21" spans="1:5" ht="15" customHeight="1" thickBot="1">
      <c r="A21" s="5077" t="s">
        <v>889</v>
      </c>
      <c r="B21" s="5078"/>
      <c r="C21" s="1634">
        <f>SUM(C22:C22)</f>
        <v>842253</v>
      </c>
      <c r="D21" s="1633">
        <f>SUM(D22:D22)</f>
        <v>842253</v>
      </c>
      <c r="E21" s="1628"/>
    </row>
    <row r="22" spans="1:5" ht="17.25" customHeight="1" thickBot="1">
      <c r="A22" s="1632">
        <v>1</v>
      </c>
      <c r="B22" s="1631" t="s">
        <v>888</v>
      </c>
      <c r="C22" s="1630">
        <v>842253</v>
      </c>
      <c r="D22" s="1630">
        <v>842253</v>
      </c>
      <c r="E22" s="1628"/>
    </row>
    <row r="23" spans="1:5" ht="24" customHeight="1" thickBot="1">
      <c r="A23" s="5079" t="s">
        <v>887</v>
      </c>
      <c r="B23" s="5080"/>
      <c r="C23" s="1629">
        <f>SUM(C4,C18)</f>
        <v>3139589</v>
      </c>
      <c r="D23" s="1629">
        <f>SUM(D4,D18)</f>
        <v>3139589</v>
      </c>
      <c r="E23" s="1628"/>
    </row>
    <row r="24" spans="1:5" ht="12.75" customHeight="1">
      <c r="A24" s="1627"/>
      <c r="B24" s="1627"/>
      <c r="C24" s="1626"/>
      <c r="D24" s="1626"/>
    </row>
    <row r="26" spans="1:5">
      <c r="A26" s="1625"/>
      <c r="B26" s="1624"/>
      <c r="C26" s="1623"/>
      <c r="D26" s="1623"/>
    </row>
    <row r="530" spans="17:17">
      <c r="Q530" s="1622">
        <f>P530-O530</f>
        <v>0</v>
      </c>
    </row>
  </sheetData>
  <sheetProtection algorithmName="SHA-512" hashValue="/5Jg09cjwv/Qewr29jVyDR/xsROigiUCWQTz7z7AzbnrHu1HRn1RAmdpr0nUr5ZXNH2nGfyLvid/jALLajqMRw==" saltValue="9zb8AQNSR+is3M8ZHgsGrw==" spinCount="100000" sheet="1" objects="1" scenarios="1"/>
  <mergeCells count="9">
    <mergeCell ref="A19:B19"/>
    <mergeCell ref="A21:B21"/>
    <mergeCell ref="A23:B23"/>
    <mergeCell ref="A16:B16"/>
    <mergeCell ref="B1:D1"/>
    <mergeCell ref="A2:D2"/>
    <mergeCell ref="A5:B5"/>
    <mergeCell ref="A8:B8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1B21-E8D0-40BD-91A7-F7E61A0BD2D3}">
  <sheetPr>
    <pageSetUpPr fitToPage="1"/>
  </sheetPr>
  <dimension ref="A1:EM2846"/>
  <sheetViews>
    <sheetView view="pageBreakPreview" topLeftCell="A350" zoomScaleNormal="115" zoomScaleSheetLayoutView="100" workbookViewId="0">
      <selection activeCell="R6" sqref="R6"/>
    </sheetView>
  </sheetViews>
  <sheetFormatPr defaultRowHeight="12.75"/>
  <cols>
    <col min="1" max="1" width="7" style="1701" customWidth="1"/>
    <col min="2" max="2" width="8" style="1701" customWidth="1"/>
    <col min="3" max="3" width="10.5703125" style="1701" customWidth="1"/>
    <col min="4" max="4" width="62" style="1701" customWidth="1"/>
    <col min="5" max="5" width="17.140625" style="1701" hidden="1" customWidth="1"/>
    <col min="6" max="6" width="24.7109375" style="1703" hidden="1" customWidth="1"/>
    <col min="7" max="7" width="19.85546875" style="1703" customWidth="1"/>
    <col min="8" max="8" width="12.28515625" style="1703" hidden="1" customWidth="1"/>
    <col min="9" max="9" width="2.85546875" style="1701" customWidth="1"/>
    <col min="10" max="10" width="10.140625" style="1702" hidden="1" customWidth="1"/>
    <col min="11" max="16384" width="9.140625" style="1701"/>
  </cols>
  <sheetData>
    <row r="1" spans="1:13" ht="13.5" customHeight="1">
      <c r="A1" s="3612"/>
      <c r="B1" s="3612"/>
      <c r="C1" s="3612"/>
      <c r="D1" s="4043" t="s">
        <v>1450</v>
      </c>
      <c r="E1" s="4043"/>
      <c r="F1" s="4043"/>
      <c r="G1" s="4043"/>
      <c r="H1" s="3612"/>
    </row>
    <row r="2" spans="1:13" ht="7.5" customHeight="1">
      <c r="A2" s="3612"/>
      <c r="B2" s="3612"/>
      <c r="C2" s="3612"/>
      <c r="D2" s="4043"/>
      <c r="E2" s="4043"/>
      <c r="F2" s="4043"/>
      <c r="G2" s="4043"/>
      <c r="H2" s="3612"/>
    </row>
    <row r="3" spans="1:13" ht="37.5" customHeight="1">
      <c r="A3" s="3612"/>
      <c r="B3" s="3612"/>
      <c r="C3" s="3612"/>
      <c r="D3" s="4043"/>
      <c r="E3" s="4043"/>
      <c r="F3" s="4043"/>
      <c r="G3" s="4043"/>
      <c r="H3" s="3612"/>
    </row>
    <row r="4" spans="1:13" ht="35.25" customHeight="1">
      <c r="A4" s="4663" t="s">
        <v>1446</v>
      </c>
      <c r="B4" s="4663"/>
      <c r="C4" s="4663"/>
      <c r="D4" s="4663"/>
      <c r="E4" s="4663"/>
      <c r="F4" s="4663"/>
      <c r="G4" s="4663"/>
      <c r="H4" s="4663"/>
    </row>
    <row r="5" spans="1:13" s="3607" customFormat="1" ht="13.5" customHeight="1" thickBot="1">
      <c r="A5" s="3611"/>
      <c r="B5" s="3611"/>
      <c r="C5" s="3611"/>
      <c r="D5" s="3611"/>
      <c r="E5" s="3611"/>
      <c r="F5" s="3610"/>
      <c r="G5" s="3609" t="s">
        <v>1</v>
      </c>
      <c r="H5" s="3609" t="s">
        <v>1</v>
      </c>
      <c r="J5" s="3608"/>
    </row>
    <row r="6" spans="1:13" ht="38.25" customHeight="1" thickBot="1">
      <c r="A6" s="3606" t="s">
        <v>2</v>
      </c>
      <c r="B6" s="3605" t="s">
        <v>651</v>
      </c>
      <c r="C6" s="3604" t="s">
        <v>5</v>
      </c>
      <c r="D6" s="3603" t="s">
        <v>1423</v>
      </c>
      <c r="E6" s="3602" t="s">
        <v>1422</v>
      </c>
      <c r="F6" s="3601" t="s">
        <v>1421</v>
      </c>
      <c r="G6" s="3600" t="s">
        <v>418</v>
      </c>
      <c r="H6" s="3599" t="s">
        <v>1420</v>
      </c>
      <c r="I6" s="3597"/>
      <c r="J6" s="3598"/>
      <c r="K6" s="3597"/>
      <c r="L6" s="3597"/>
      <c r="M6" s="3597"/>
    </row>
    <row r="7" spans="1:13" ht="15" customHeight="1" thickBot="1">
      <c r="A7" s="3594" t="s">
        <v>13</v>
      </c>
      <c r="B7" s="3596" t="s">
        <v>14</v>
      </c>
      <c r="C7" s="3595" t="s">
        <v>15</v>
      </c>
      <c r="D7" s="3594" t="s">
        <v>16</v>
      </c>
      <c r="E7" s="3593" t="s">
        <v>17</v>
      </c>
      <c r="F7" s="3592" t="s">
        <v>17</v>
      </c>
      <c r="G7" s="3591" t="s">
        <v>17</v>
      </c>
      <c r="H7" s="3590" t="s">
        <v>18</v>
      </c>
    </row>
    <row r="8" spans="1:13" ht="0.75" hidden="1" customHeight="1" thickBot="1">
      <c r="A8" s="3589"/>
      <c r="B8" s="3588"/>
      <c r="C8" s="3587"/>
      <c r="D8" s="3587"/>
      <c r="E8" s="3586"/>
      <c r="F8" s="3192"/>
      <c r="G8" s="3403"/>
      <c r="H8" s="3585"/>
    </row>
    <row r="9" spans="1:13" s="1702" customFormat="1" ht="17.100000000000001" customHeight="1" thickBot="1">
      <c r="A9" s="1844" t="s">
        <v>21</v>
      </c>
      <c r="B9" s="2525"/>
      <c r="C9" s="2524"/>
      <c r="D9" s="2523" t="s">
        <v>1419</v>
      </c>
      <c r="E9" s="3584">
        <f>SUM(E10,E47,E72,E102,E140,E160,E156)</f>
        <v>47887084</v>
      </c>
      <c r="F9" s="3584">
        <f>SUM(F10,F47,F72,F102,F140,F160,F156)</f>
        <v>55904091</v>
      </c>
      <c r="G9" s="3583">
        <f>SUM(G10,G47,G72,G102,G140,G160,G156)</f>
        <v>52003357</v>
      </c>
      <c r="H9" s="1735">
        <f t="shared" ref="H9:H19" si="0">G9/F9</f>
        <v>0.93022453401487204</v>
      </c>
    </row>
    <row r="10" spans="1:13" s="1702" customFormat="1" ht="17.100000000000001" customHeight="1" thickBot="1">
      <c r="A10" s="1756"/>
      <c r="B10" s="3575" t="s">
        <v>23</v>
      </c>
      <c r="C10" s="3574"/>
      <c r="D10" s="3573" t="s">
        <v>1418</v>
      </c>
      <c r="E10" s="3582">
        <f>E11+E44</f>
        <v>16805767</v>
      </c>
      <c r="F10" s="3582">
        <f>F11+F44</f>
        <v>17504018</v>
      </c>
      <c r="G10" s="3581">
        <f>G11+G44</f>
        <v>20952501</v>
      </c>
      <c r="H10" s="3244">
        <f t="shared" si="0"/>
        <v>1.1970109377172715</v>
      </c>
      <c r="J10" s="3580"/>
    </row>
    <row r="11" spans="1:13" s="1702" customFormat="1" ht="17.100000000000001" customHeight="1">
      <c r="A11" s="1756"/>
      <c r="B11" s="4084"/>
      <c r="C11" s="4599" t="s">
        <v>944</v>
      </c>
      <c r="D11" s="4599"/>
      <c r="E11" s="3454">
        <f>E12+E41</f>
        <v>16005767</v>
      </c>
      <c r="F11" s="3454">
        <f>F12+F41</f>
        <v>16704018</v>
      </c>
      <c r="G11" s="1761">
        <f>G12+G41</f>
        <v>20048501</v>
      </c>
      <c r="H11" s="2227">
        <f t="shared" si="0"/>
        <v>1.2002202703565095</v>
      </c>
      <c r="J11" s="3580"/>
    </row>
    <row r="12" spans="1:13" s="1702" customFormat="1" ht="17.100000000000001" customHeight="1">
      <c r="A12" s="1756"/>
      <c r="B12" s="4084"/>
      <c r="C12" s="4622" t="s">
        <v>967</v>
      </c>
      <c r="D12" s="4622"/>
      <c r="E12" s="3579">
        <f>E13+E21</f>
        <v>15888740</v>
      </c>
      <c r="F12" s="3579">
        <f>F13+F21</f>
        <v>16576841</v>
      </c>
      <c r="G12" s="2980">
        <f>G13+G21</f>
        <v>19904786</v>
      </c>
      <c r="H12" s="3184">
        <f t="shared" si="0"/>
        <v>1.2007586970279802</v>
      </c>
    </row>
    <row r="13" spans="1:13" s="1702" customFormat="1" ht="17.100000000000001" customHeight="1">
      <c r="A13" s="1756"/>
      <c r="B13" s="4084"/>
      <c r="C13" s="4662" t="s">
        <v>966</v>
      </c>
      <c r="D13" s="4662"/>
      <c r="E13" s="3286">
        <f>SUM(E14:E19)</f>
        <v>12426840</v>
      </c>
      <c r="F13" s="3286">
        <f>SUM(F14:F19)</f>
        <v>12815334</v>
      </c>
      <c r="G13" s="2715">
        <f>SUM(G14:G19)</f>
        <v>15114652</v>
      </c>
      <c r="H13" s="3206">
        <f t="shared" si="0"/>
        <v>1.1794192800593415</v>
      </c>
      <c r="J13" s="1702" t="s">
        <v>1355</v>
      </c>
    </row>
    <row r="14" spans="1:13" s="1702" customFormat="1" ht="17.100000000000001" customHeight="1">
      <c r="A14" s="1756"/>
      <c r="B14" s="1831"/>
      <c r="C14" s="3496" t="s">
        <v>1016</v>
      </c>
      <c r="D14" s="3495" t="s">
        <v>1015</v>
      </c>
      <c r="E14" s="3285">
        <v>9550979</v>
      </c>
      <c r="F14" s="3285">
        <v>9874111</v>
      </c>
      <c r="G14" s="3193">
        <v>11642549</v>
      </c>
      <c r="H14" s="3184">
        <f t="shared" si="0"/>
        <v>1.179098452508788</v>
      </c>
    </row>
    <row r="15" spans="1:13" s="1702" customFormat="1" ht="17.100000000000001" customHeight="1">
      <c r="A15" s="1756"/>
      <c r="B15" s="1831"/>
      <c r="C15" s="3496" t="s">
        <v>1014</v>
      </c>
      <c r="D15" s="3495" t="s">
        <v>1013</v>
      </c>
      <c r="E15" s="3285">
        <v>686820</v>
      </c>
      <c r="F15" s="3285">
        <v>686820</v>
      </c>
      <c r="G15" s="3193">
        <v>767345</v>
      </c>
      <c r="H15" s="3184">
        <f t="shared" si="0"/>
        <v>1.1172432369470895</v>
      </c>
    </row>
    <row r="16" spans="1:13" s="1702" customFormat="1" ht="17.100000000000001" customHeight="1">
      <c r="A16" s="1756"/>
      <c r="B16" s="1831"/>
      <c r="C16" s="3496" t="s">
        <v>965</v>
      </c>
      <c r="D16" s="3495" t="s">
        <v>964</v>
      </c>
      <c r="E16" s="3285">
        <v>1745133</v>
      </c>
      <c r="F16" s="3285">
        <v>1800680</v>
      </c>
      <c r="G16" s="3193">
        <v>2142488</v>
      </c>
      <c r="H16" s="3184">
        <f t="shared" si="0"/>
        <v>1.1898216229424439</v>
      </c>
    </row>
    <row r="17" spans="1:8" s="1702" customFormat="1" ht="15.75" customHeight="1">
      <c r="A17" s="1756"/>
      <c r="B17" s="1831"/>
      <c r="C17" s="3496" t="s">
        <v>963</v>
      </c>
      <c r="D17" s="3495" t="s">
        <v>962</v>
      </c>
      <c r="E17" s="3285">
        <v>247548</v>
      </c>
      <c r="F17" s="3285">
        <v>255300</v>
      </c>
      <c r="G17" s="3193">
        <v>275044</v>
      </c>
      <c r="H17" s="3184">
        <f t="shared" si="0"/>
        <v>1.0773364669016843</v>
      </c>
    </row>
    <row r="18" spans="1:8" s="1702" customFormat="1" ht="17.100000000000001" customHeight="1">
      <c r="A18" s="1756"/>
      <c r="B18" s="1831"/>
      <c r="C18" s="3496" t="s">
        <v>974</v>
      </c>
      <c r="D18" s="3495" t="s">
        <v>973</v>
      </c>
      <c r="E18" s="3285">
        <v>142260</v>
      </c>
      <c r="F18" s="3285">
        <v>142260</v>
      </c>
      <c r="G18" s="3193">
        <v>225200</v>
      </c>
      <c r="H18" s="3184">
        <f t="shared" si="0"/>
        <v>1.5830170111064248</v>
      </c>
    </row>
    <row r="19" spans="1:8" s="1702" customFormat="1" ht="17.100000000000001" customHeight="1">
      <c r="A19" s="1756"/>
      <c r="B19" s="1831"/>
      <c r="C19" s="3496" t="s">
        <v>1012</v>
      </c>
      <c r="D19" s="3495" t="s">
        <v>1011</v>
      </c>
      <c r="E19" s="3285">
        <v>54100</v>
      </c>
      <c r="F19" s="3285">
        <v>56163</v>
      </c>
      <c r="G19" s="2686">
        <v>62026</v>
      </c>
      <c r="H19" s="3184">
        <f t="shared" si="0"/>
        <v>1.1043925716218863</v>
      </c>
    </row>
    <row r="20" spans="1:8" s="1702" customFormat="1" ht="17.100000000000001" customHeight="1">
      <c r="A20" s="1756"/>
      <c r="B20" s="1831"/>
      <c r="C20" s="3578"/>
      <c r="D20" s="3550"/>
      <c r="E20" s="3285"/>
      <c r="F20" s="3285"/>
      <c r="G20" s="2686"/>
      <c r="H20" s="3184"/>
    </row>
    <row r="21" spans="1:8" s="1702" customFormat="1" ht="17.100000000000001" customHeight="1">
      <c r="A21" s="1756"/>
      <c r="B21" s="1831"/>
      <c r="C21" s="4636" t="s">
        <v>961</v>
      </c>
      <c r="D21" s="4646"/>
      <c r="E21" s="3286">
        <f>SUM(E22:E39)</f>
        <v>3461900</v>
      </c>
      <c r="F21" s="3286">
        <f>SUM(F22:F39)</f>
        <v>3761507</v>
      </c>
      <c r="G21" s="2715">
        <f>SUM(G22:G39)</f>
        <v>4790134</v>
      </c>
      <c r="H21" s="3206">
        <f t="shared" ref="H21:H39" si="1">G21/F21</f>
        <v>1.2734614078878492</v>
      </c>
    </row>
    <row r="22" spans="1:8" s="1702" customFormat="1" ht="17.100000000000001" customHeight="1">
      <c r="A22" s="1756"/>
      <c r="B22" s="1831"/>
      <c r="C22" s="3496" t="s">
        <v>1048</v>
      </c>
      <c r="D22" s="3495" t="s">
        <v>1047</v>
      </c>
      <c r="E22" s="3285">
        <v>144000</v>
      </c>
      <c r="F22" s="3285">
        <v>144000</v>
      </c>
      <c r="G22" s="3577">
        <v>175000</v>
      </c>
      <c r="H22" s="3184">
        <f t="shared" si="1"/>
        <v>1.2152777777777777</v>
      </c>
    </row>
    <row r="23" spans="1:8" s="1702" customFormat="1" ht="17.100000000000001" customHeight="1">
      <c r="A23" s="1756"/>
      <c r="B23" s="1831"/>
      <c r="C23" s="3496" t="s">
        <v>613</v>
      </c>
      <c r="D23" s="3495" t="s">
        <v>960</v>
      </c>
      <c r="E23" s="3285">
        <v>1964600</v>
      </c>
      <c r="F23" s="3285">
        <v>1914767</v>
      </c>
      <c r="G23" s="3577">
        <v>1908048</v>
      </c>
      <c r="H23" s="3184">
        <f t="shared" si="1"/>
        <v>0.99649095686315881</v>
      </c>
    </row>
    <row r="24" spans="1:8" s="1702" customFormat="1" ht="17.100000000000001" customHeight="1">
      <c r="A24" s="1756"/>
      <c r="B24" s="1831"/>
      <c r="C24" s="3496" t="s">
        <v>1008</v>
      </c>
      <c r="D24" s="3495" t="s">
        <v>1007</v>
      </c>
      <c r="E24" s="3285">
        <v>6500</v>
      </c>
      <c r="F24" s="3285">
        <v>6500</v>
      </c>
      <c r="G24" s="3577">
        <v>7500</v>
      </c>
      <c r="H24" s="3184">
        <f t="shared" si="1"/>
        <v>1.1538461538461537</v>
      </c>
    </row>
    <row r="25" spans="1:8" s="1702" customFormat="1" ht="17.100000000000001" customHeight="1">
      <c r="A25" s="1756"/>
      <c r="B25" s="1831"/>
      <c r="C25" s="3496" t="s">
        <v>1004</v>
      </c>
      <c r="D25" s="3495" t="s">
        <v>1003</v>
      </c>
      <c r="E25" s="3285">
        <v>160000</v>
      </c>
      <c r="F25" s="3285">
        <v>259108</v>
      </c>
      <c r="G25" s="3577">
        <v>416481</v>
      </c>
      <c r="H25" s="3184">
        <f t="shared" si="1"/>
        <v>1.6073644966577643</v>
      </c>
    </row>
    <row r="26" spans="1:8" s="1702" customFormat="1" ht="17.100000000000001" customHeight="1">
      <c r="A26" s="1756"/>
      <c r="B26" s="1831"/>
      <c r="C26" s="3496" t="s">
        <v>1002</v>
      </c>
      <c r="D26" s="3495" t="s">
        <v>1001</v>
      </c>
      <c r="E26" s="3285">
        <v>184300</v>
      </c>
      <c r="F26" s="3285">
        <v>217941</v>
      </c>
      <c r="G26" s="3577">
        <v>251513</v>
      </c>
      <c r="H26" s="3184">
        <f t="shared" si="1"/>
        <v>1.1540416901822053</v>
      </c>
    </row>
    <row r="27" spans="1:8" s="1702" customFormat="1" ht="17.100000000000001" customHeight="1">
      <c r="A27" s="1756"/>
      <c r="B27" s="1831"/>
      <c r="C27" s="3496" t="s">
        <v>1000</v>
      </c>
      <c r="D27" s="3495" t="s">
        <v>999</v>
      </c>
      <c r="E27" s="3285">
        <v>18200</v>
      </c>
      <c r="F27" s="3285">
        <v>18200</v>
      </c>
      <c r="G27" s="3577">
        <v>32640</v>
      </c>
      <c r="H27" s="3184">
        <f t="shared" si="1"/>
        <v>1.7934065934065935</v>
      </c>
    </row>
    <row r="28" spans="1:8" s="1702" customFormat="1" ht="17.100000000000001" customHeight="1">
      <c r="A28" s="1756"/>
      <c r="B28" s="1831"/>
      <c r="C28" s="3496" t="s">
        <v>959</v>
      </c>
      <c r="D28" s="3495" t="s">
        <v>958</v>
      </c>
      <c r="E28" s="3285">
        <v>407740</v>
      </c>
      <c r="F28" s="3285">
        <v>557877</v>
      </c>
      <c r="G28" s="3577">
        <v>1272054</v>
      </c>
      <c r="H28" s="3184">
        <f t="shared" si="1"/>
        <v>2.2801692846272568</v>
      </c>
    </row>
    <row r="29" spans="1:8" s="1702" customFormat="1" ht="16.5" customHeight="1">
      <c r="A29" s="1756"/>
      <c r="B29" s="1831"/>
      <c r="C29" s="3496" t="s">
        <v>998</v>
      </c>
      <c r="D29" s="3495" t="s">
        <v>997</v>
      </c>
      <c r="E29" s="3285">
        <v>45150</v>
      </c>
      <c r="F29" s="3285">
        <v>45150</v>
      </c>
      <c r="G29" s="3577">
        <v>59140</v>
      </c>
      <c r="H29" s="3184">
        <f t="shared" si="1"/>
        <v>1.3098560354374307</v>
      </c>
    </row>
    <row r="30" spans="1:8" s="1702" customFormat="1" ht="16.5" customHeight="1">
      <c r="A30" s="1756"/>
      <c r="B30" s="1831"/>
      <c r="C30" s="3496" t="s">
        <v>996</v>
      </c>
      <c r="D30" s="3495" t="s">
        <v>995</v>
      </c>
      <c r="E30" s="3285">
        <v>9160</v>
      </c>
      <c r="F30" s="3285">
        <v>9160</v>
      </c>
      <c r="G30" s="3577">
        <v>6800</v>
      </c>
      <c r="H30" s="3184">
        <f t="shared" si="1"/>
        <v>0.74235807860262004</v>
      </c>
    </row>
    <row r="31" spans="1:8" s="1702" customFormat="1" ht="27.75" customHeight="1">
      <c r="A31" s="1756"/>
      <c r="B31" s="1831"/>
      <c r="C31" s="3496" t="s">
        <v>994</v>
      </c>
      <c r="D31" s="3495" t="s">
        <v>993</v>
      </c>
      <c r="E31" s="3285">
        <v>150000</v>
      </c>
      <c r="F31" s="3285">
        <v>185287</v>
      </c>
      <c r="G31" s="3577">
        <v>240000</v>
      </c>
      <c r="H31" s="3184">
        <f t="shared" si="1"/>
        <v>1.2952878507396632</v>
      </c>
    </row>
    <row r="32" spans="1:8" s="1702" customFormat="1" ht="17.100000000000001" customHeight="1">
      <c r="A32" s="1756"/>
      <c r="B32" s="1831"/>
      <c r="C32" s="3496" t="s">
        <v>992</v>
      </c>
      <c r="D32" s="3495" t="s">
        <v>991</v>
      </c>
      <c r="E32" s="3285">
        <v>5000</v>
      </c>
      <c r="F32" s="3285">
        <v>5000</v>
      </c>
      <c r="G32" s="3577">
        <v>5000</v>
      </c>
      <c r="H32" s="3184">
        <f t="shared" si="1"/>
        <v>1</v>
      </c>
    </row>
    <row r="33" spans="1:8" s="1702" customFormat="1" ht="17.100000000000001" customHeight="1">
      <c r="A33" s="1756"/>
      <c r="B33" s="1831"/>
      <c r="C33" s="3496" t="s">
        <v>988</v>
      </c>
      <c r="D33" s="3495" t="s">
        <v>987</v>
      </c>
      <c r="E33" s="3285">
        <v>120000</v>
      </c>
      <c r="F33" s="3285">
        <v>120000</v>
      </c>
      <c r="G33" s="3577">
        <v>110150</v>
      </c>
      <c r="H33" s="3184">
        <f t="shared" si="1"/>
        <v>0.91791666666666671</v>
      </c>
    </row>
    <row r="34" spans="1:8" s="1702" customFormat="1" ht="17.100000000000001" customHeight="1">
      <c r="A34" s="1756"/>
      <c r="B34" s="1831"/>
      <c r="C34" s="3496" t="s">
        <v>986</v>
      </c>
      <c r="D34" s="3495" t="s">
        <v>985</v>
      </c>
      <c r="E34" s="3285">
        <v>209210</v>
      </c>
      <c r="F34" s="3285">
        <v>209210</v>
      </c>
      <c r="G34" s="3577">
        <v>210532</v>
      </c>
      <c r="H34" s="3184">
        <f t="shared" si="1"/>
        <v>1.0063190096075714</v>
      </c>
    </row>
    <row r="35" spans="1:8" s="1702" customFormat="1" ht="17.100000000000001" customHeight="1">
      <c r="A35" s="1756"/>
      <c r="B35" s="1831"/>
      <c r="C35" s="3224" t="s">
        <v>984</v>
      </c>
      <c r="D35" s="3223" t="s">
        <v>983</v>
      </c>
      <c r="E35" s="3285">
        <v>9500</v>
      </c>
      <c r="F35" s="3285">
        <v>16556</v>
      </c>
      <c r="G35" s="3577">
        <v>20000</v>
      </c>
      <c r="H35" s="3184">
        <f t="shared" si="1"/>
        <v>1.2080212611741967</v>
      </c>
    </row>
    <row r="36" spans="1:8" s="1702" customFormat="1" ht="17.100000000000001" hidden="1" customHeight="1">
      <c r="A36" s="1831"/>
      <c r="B36" s="1831"/>
      <c r="C36" s="3543" t="s">
        <v>1229</v>
      </c>
      <c r="D36" s="3544" t="s">
        <v>1228</v>
      </c>
      <c r="E36" s="2500">
        <v>0</v>
      </c>
      <c r="F36" s="2500">
        <v>700</v>
      </c>
      <c r="G36" s="1802">
        <v>0</v>
      </c>
      <c r="H36" s="3470">
        <f t="shared" si="1"/>
        <v>0</v>
      </c>
    </row>
    <row r="37" spans="1:8" s="1702" customFormat="1" ht="17.100000000000001" customHeight="1">
      <c r="A37" s="1756"/>
      <c r="B37" s="1831"/>
      <c r="C37" s="3496" t="s">
        <v>1089</v>
      </c>
      <c r="D37" s="3495" t="s">
        <v>1092</v>
      </c>
      <c r="E37" s="3285">
        <v>2540</v>
      </c>
      <c r="F37" s="3285">
        <v>10835</v>
      </c>
      <c r="G37" s="2686">
        <v>14951</v>
      </c>
      <c r="H37" s="3184">
        <f t="shared" si="1"/>
        <v>1.3798800184586986</v>
      </c>
    </row>
    <row r="38" spans="1:8" s="1702" customFormat="1" ht="17.100000000000001" hidden="1" customHeight="1">
      <c r="A38" s="1756"/>
      <c r="B38" s="1831"/>
      <c r="C38" s="3496" t="s">
        <v>1158</v>
      </c>
      <c r="D38" s="3495" t="s">
        <v>1157</v>
      </c>
      <c r="E38" s="3285">
        <v>0</v>
      </c>
      <c r="F38" s="3285">
        <v>216</v>
      </c>
      <c r="G38" s="2686">
        <v>0</v>
      </c>
      <c r="H38" s="3184">
        <f t="shared" si="1"/>
        <v>0</v>
      </c>
    </row>
    <row r="39" spans="1:8" s="1702" customFormat="1" ht="16.5" customHeight="1">
      <c r="A39" s="1756"/>
      <c r="B39" s="1831"/>
      <c r="C39" s="3496" t="s">
        <v>982</v>
      </c>
      <c r="D39" s="3495" t="s">
        <v>981</v>
      </c>
      <c r="E39" s="3285">
        <v>26000</v>
      </c>
      <c r="F39" s="3285">
        <v>41000</v>
      </c>
      <c r="G39" s="2686">
        <v>60325</v>
      </c>
      <c r="H39" s="3184">
        <f t="shared" si="1"/>
        <v>1.4713414634146342</v>
      </c>
    </row>
    <row r="40" spans="1:8" s="1702" customFormat="1" ht="17.100000000000001" customHeight="1">
      <c r="A40" s="1756"/>
      <c r="B40" s="1831"/>
      <c r="C40" s="4650"/>
      <c r="D40" s="4650"/>
      <c r="E40" s="2765"/>
      <c r="F40" s="3285"/>
      <c r="G40" s="2686"/>
      <c r="H40" s="3184"/>
    </row>
    <row r="41" spans="1:8" s="1702" customFormat="1" ht="17.100000000000001" customHeight="1">
      <c r="A41" s="1756"/>
      <c r="B41" s="1831"/>
      <c r="C41" s="4627" t="s">
        <v>952</v>
      </c>
      <c r="D41" s="4627"/>
      <c r="E41" s="3285">
        <f>SUM(E42)</f>
        <v>117027</v>
      </c>
      <c r="F41" s="3285">
        <f>SUM(F42)</f>
        <v>127177</v>
      </c>
      <c r="G41" s="2686">
        <f>SUM(G42)</f>
        <v>143715</v>
      </c>
      <c r="H41" s="3184">
        <f>G41/F41</f>
        <v>1.1300392366544265</v>
      </c>
    </row>
    <row r="42" spans="1:8" s="1702" customFormat="1" ht="17.100000000000001" customHeight="1">
      <c r="A42" s="1756"/>
      <c r="B42" s="1831"/>
      <c r="C42" s="3224" t="s">
        <v>980</v>
      </c>
      <c r="D42" s="3223" t="s">
        <v>979</v>
      </c>
      <c r="E42" s="3285">
        <v>117027</v>
      </c>
      <c r="F42" s="3285">
        <v>127177</v>
      </c>
      <c r="G42" s="2686">
        <v>143715</v>
      </c>
      <c r="H42" s="3184">
        <f>G42/F42</f>
        <v>1.1300392366544265</v>
      </c>
    </row>
    <row r="43" spans="1:8" s="1702" customFormat="1" ht="17.100000000000001" customHeight="1">
      <c r="A43" s="1756"/>
      <c r="B43" s="1831"/>
      <c r="C43" s="4667"/>
      <c r="D43" s="4668"/>
      <c r="E43" s="1877"/>
      <c r="F43" s="3285"/>
      <c r="G43" s="2686"/>
      <c r="H43" s="3184"/>
    </row>
    <row r="44" spans="1:8" s="1702" customFormat="1" ht="17.100000000000001" customHeight="1">
      <c r="A44" s="1756"/>
      <c r="B44" s="1831"/>
      <c r="C44" s="4537" t="s">
        <v>941</v>
      </c>
      <c r="D44" s="4664"/>
      <c r="E44" s="3287">
        <f t="shared" ref="E44:G45" si="2">SUM(E45)</f>
        <v>800000</v>
      </c>
      <c r="F44" s="3287">
        <f t="shared" si="2"/>
        <v>800000</v>
      </c>
      <c r="G44" s="2781">
        <f t="shared" si="2"/>
        <v>904000</v>
      </c>
      <c r="H44" s="3216">
        <f t="shared" ref="H44:H75" si="3">G44/F44</f>
        <v>1.1299999999999999</v>
      </c>
    </row>
    <row r="45" spans="1:8" s="1702" customFormat="1" ht="17.100000000000001" customHeight="1">
      <c r="A45" s="1756"/>
      <c r="B45" s="1831"/>
      <c r="C45" s="4627" t="s">
        <v>940</v>
      </c>
      <c r="D45" s="4627"/>
      <c r="E45" s="3285">
        <f t="shared" si="2"/>
        <v>800000</v>
      </c>
      <c r="F45" s="3285">
        <f t="shared" si="2"/>
        <v>800000</v>
      </c>
      <c r="G45" s="2686">
        <f t="shared" si="2"/>
        <v>904000</v>
      </c>
      <c r="H45" s="3184">
        <f t="shared" si="3"/>
        <v>1.1299999999999999</v>
      </c>
    </row>
    <row r="46" spans="1:8" s="1702" customFormat="1" ht="17.100000000000001" customHeight="1" thickBot="1">
      <c r="A46" s="1756"/>
      <c r="B46" s="1831"/>
      <c r="C46" s="3494" t="s">
        <v>553</v>
      </c>
      <c r="D46" s="3493" t="s">
        <v>1072</v>
      </c>
      <c r="E46" s="2636">
        <v>800000</v>
      </c>
      <c r="F46" s="3285">
        <v>800000</v>
      </c>
      <c r="G46" s="2686">
        <v>904000</v>
      </c>
      <c r="H46" s="3184">
        <f t="shared" si="3"/>
        <v>1.1299999999999999</v>
      </c>
    </row>
    <row r="47" spans="1:8" s="1702" customFormat="1" ht="17.100000000000001" hidden="1" customHeight="1" thickBot="1">
      <c r="A47" s="1756"/>
      <c r="B47" s="3575" t="s">
        <v>1417</v>
      </c>
      <c r="C47" s="3574"/>
      <c r="D47" s="3573" t="s">
        <v>1416</v>
      </c>
      <c r="E47" s="3576">
        <v>0</v>
      </c>
      <c r="F47" s="3285"/>
      <c r="G47" s="2686"/>
      <c r="H47" s="3184" t="e">
        <f t="shared" si="3"/>
        <v>#DIV/0!</v>
      </c>
    </row>
    <row r="48" spans="1:8" s="1702" customFormat="1" ht="17.100000000000001" hidden="1" customHeight="1">
      <c r="A48" s="1756"/>
      <c r="B48" s="1755"/>
      <c r="C48" s="4599" t="s">
        <v>944</v>
      </c>
      <c r="D48" s="4599"/>
      <c r="E48" s="2538">
        <v>0</v>
      </c>
      <c r="F48" s="3285"/>
      <c r="G48" s="2686"/>
      <c r="H48" s="3184" t="e">
        <f t="shared" si="3"/>
        <v>#DIV/0!</v>
      </c>
    </row>
    <row r="49" spans="1:8" s="1702" customFormat="1" ht="17.100000000000001" hidden="1" customHeight="1">
      <c r="A49" s="1756"/>
      <c r="B49" s="1831"/>
      <c r="C49" s="4622" t="s">
        <v>967</v>
      </c>
      <c r="D49" s="4622"/>
      <c r="E49" s="3285">
        <v>0</v>
      </c>
      <c r="F49" s="3285"/>
      <c r="G49" s="2686"/>
      <c r="H49" s="3184" t="e">
        <f t="shared" si="3"/>
        <v>#DIV/0!</v>
      </c>
    </row>
    <row r="50" spans="1:8" s="1702" customFormat="1" ht="17.100000000000001" hidden="1" customHeight="1">
      <c r="A50" s="1756"/>
      <c r="B50" s="1831"/>
      <c r="C50" s="4662" t="s">
        <v>966</v>
      </c>
      <c r="D50" s="4662"/>
      <c r="E50" s="3286">
        <v>0</v>
      </c>
      <c r="F50" s="3285"/>
      <c r="G50" s="2686"/>
      <c r="H50" s="3184" t="e">
        <f t="shared" si="3"/>
        <v>#DIV/0!</v>
      </c>
    </row>
    <row r="51" spans="1:8" s="1702" customFormat="1" ht="16.5" hidden="1" customHeight="1">
      <c r="A51" s="1756"/>
      <c r="B51" s="1831"/>
      <c r="C51" s="3496" t="s">
        <v>1016</v>
      </c>
      <c r="D51" s="3495" t="s">
        <v>1015</v>
      </c>
      <c r="E51" s="3285">
        <v>0</v>
      </c>
      <c r="F51" s="3285"/>
      <c r="G51" s="2686"/>
      <c r="H51" s="3184" t="e">
        <f t="shared" si="3"/>
        <v>#DIV/0!</v>
      </c>
    </row>
    <row r="52" spans="1:8" s="1702" customFormat="1" ht="17.100000000000001" hidden="1" customHeight="1">
      <c r="A52" s="1756"/>
      <c r="B52" s="1831"/>
      <c r="C52" s="3496" t="s">
        <v>1014</v>
      </c>
      <c r="D52" s="3495" t="s">
        <v>1013</v>
      </c>
      <c r="E52" s="3285">
        <v>0</v>
      </c>
      <c r="F52" s="3285"/>
      <c r="G52" s="2686"/>
      <c r="H52" s="3184" t="e">
        <f t="shared" si="3"/>
        <v>#DIV/0!</v>
      </c>
    </row>
    <row r="53" spans="1:8" s="1702" customFormat="1" ht="17.100000000000001" hidden="1" customHeight="1">
      <c r="A53" s="1756"/>
      <c r="B53" s="1831"/>
      <c r="C53" s="3496" t="s">
        <v>965</v>
      </c>
      <c r="D53" s="3495" t="s">
        <v>964</v>
      </c>
      <c r="E53" s="3285">
        <v>0</v>
      </c>
      <c r="F53" s="3285"/>
      <c r="G53" s="2686"/>
      <c r="H53" s="3184" t="e">
        <f t="shared" si="3"/>
        <v>#DIV/0!</v>
      </c>
    </row>
    <row r="54" spans="1:8" s="1702" customFormat="1" ht="17.100000000000001" hidden="1" customHeight="1">
      <c r="A54" s="1756"/>
      <c r="B54" s="1831"/>
      <c r="C54" s="3496" t="s">
        <v>963</v>
      </c>
      <c r="D54" s="3495" t="s">
        <v>1067</v>
      </c>
      <c r="E54" s="3285">
        <v>0</v>
      </c>
      <c r="F54" s="3285"/>
      <c r="G54" s="2686"/>
      <c r="H54" s="3184" t="e">
        <f t="shared" si="3"/>
        <v>#DIV/0!</v>
      </c>
    </row>
    <row r="55" spans="1:8" s="1702" customFormat="1" ht="17.100000000000001" hidden="1" customHeight="1">
      <c r="A55" s="1756"/>
      <c r="B55" s="1831"/>
      <c r="C55" s="3496" t="s">
        <v>974</v>
      </c>
      <c r="D55" s="3495" t="s">
        <v>973</v>
      </c>
      <c r="E55" s="3285">
        <v>0</v>
      </c>
      <c r="F55" s="3285"/>
      <c r="G55" s="2686"/>
      <c r="H55" s="3184" t="e">
        <f t="shared" si="3"/>
        <v>#DIV/0!</v>
      </c>
    </row>
    <row r="56" spans="1:8" s="1702" customFormat="1" ht="17.100000000000001" hidden="1" customHeight="1">
      <c r="A56" s="1756"/>
      <c r="B56" s="1831"/>
      <c r="C56" s="2766"/>
      <c r="D56" s="2766"/>
      <c r="E56" s="3572"/>
      <c r="F56" s="3285"/>
      <c r="G56" s="2686"/>
      <c r="H56" s="3184" t="e">
        <f t="shared" si="3"/>
        <v>#DIV/0!</v>
      </c>
    </row>
    <row r="57" spans="1:8" s="1702" customFormat="1" ht="17.100000000000001" hidden="1" customHeight="1">
      <c r="A57" s="1756"/>
      <c r="B57" s="1831"/>
      <c r="C57" s="4623" t="s">
        <v>961</v>
      </c>
      <c r="D57" s="4623"/>
      <c r="E57" s="3286">
        <v>0</v>
      </c>
      <c r="F57" s="3285"/>
      <c r="G57" s="2686"/>
      <c r="H57" s="3184" t="e">
        <f t="shared" si="3"/>
        <v>#DIV/0!</v>
      </c>
    </row>
    <row r="58" spans="1:8" s="1702" customFormat="1" ht="17.100000000000001" hidden="1" customHeight="1">
      <c r="A58" s="1756"/>
      <c r="B58" s="1831"/>
      <c r="C58" s="3496" t="s">
        <v>613</v>
      </c>
      <c r="D58" s="3495" t="s">
        <v>960</v>
      </c>
      <c r="E58" s="3285">
        <v>0</v>
      </c>
      <c r="F58" s="3285"/>
      <c r="G58" s="2686"/>
      <c r="H58" s="3184" t="e">
        <f t="shared" si="3"/>
        <v>#DIV/0!</v>
      </c>
    </row>
    <row r="59" spans="1:8" s="1702" customFormat="1" ht="17.100000000000001" hidden="1" customHeight="1">
      <c r="A59" s="1756"/>
      <c r="B59" s="1831"/>
      <c r="C59" s="3496" t="s">
        <v>1004</v>
      </c>
      <c r="D59" s="3495" t="s">
        <v>1003</v>
      </c>
      <c r="E59" s="3285">
        <v>0</v>
      </c>
      <c r="F59" s="3285"/>
      <c r="G59" s="2686"/>
      <c r="H59" s="3184" t="e">
        <f t="shared" si="3"/>
        <v>#DIV/0!</v>
      </c>
    </row>
    <row r="60" spans="1:8" s="1702" customFormat="1" ht="17.100000000000001" hidden="1" customHeight="1">
      <c r="A60" s="1756"/>
      <c r="B60" s="1831"/>
      <c r="C60" s="3496" t="s">
        <v>1002</v>
      </c>
      <c r="D60" s="3495" t="s">
        <v>1001</v>
      </c>
      <c r="E60" s="3285">
        <v>0</v>
      </c>
      <c r="F60" s="3285"/>
      <c r="G60" s="2686"/>
      <c r="H60" s="3184" t="e">
        <f t="shared" si="3"/>
        <v>#DIV/0!</v>
      </c>
    </row>
    <row r="61" spans="1:8" s="1702" customFormat="1" ht="17.100000000000001" hidden="1" customHeight="1">
      <c r="A61" s="1756"/>
      <c r="B61" s="1831"/>
      <c r="C61" s="3496" t="s">
        <v>959</v>
      </c>
      <c r="D61" s="3495" t="s">
        <v>958</v>
      </c>
      <c r="E61" s="3285">
        <v>0</v>
      </c>
      <c r="F61" s="3285"/>
      <c r="G61" s="2686"/>
      <c r="H61" s="3184" t="e">
        <f t="shared" si="3"/>
        <v>#DIV/0!</v>
      </c>
    </row>
    <row r="62" spans="1:8" s="1702" customFormat="1" ht="16.5" hidden="1" customHeight="1">
      <c r="A62" s="1756"/>
      <c r="B62" s="1831"/>
      <c r="C62" s="3496" t="s">
        <v>998</v>
      </c>
      <c r="D62" s="3495" t="s">
        <v>997</v>
      </c>
      <c r="E62" s="3285">
        <v>0</v>
      </c>
      <c r="F62" s="3285"/>
      <c r="G62" s="2686"/>
      <c r="H62" s="3184" t="e">
        <f t="shared" si="3"/>
        <v>#DIV/0!</v>
      </c>
    </row>
    <row r="63" spans="1:8" s="1702" customFormat="1" ht="27.75" hidden="1" customHeight="1">
      <c r="A63" s="1756"/>
      <c r="B63" s="1831"/>
      <c r="C63" s="3496" t="s">
        <v>994</v>
      </c>
      <c r="D63" s="3495" t="s">
        <v>993</v>
      </c>
      <c r="E63" s="3285">
        <v>0</v>
      </c>
      <c r="F63" s="3285"/>
      <c r="G63" s="2686"/>
      <c r="H63" s="3184" t="e">
        <f t="shared" si="3"/>
        <v>#DIV/0!</v>
      </c>
    </row>
    <row r="64" spans="1:8" s="1702" customFormat="1" ht="17.100000000000001" hidden="1" customHeight="1">
      <c r="A64" s="1756"/>
      <c r="B64" s="1831"/>
      <c r="C64" s="3496" t="s">
        <v>992</v>
      </c>
      <c r="D64" s="3495" t="s">
        <v>991</v>
      </c>
      <c r="E64" s="3285">
        <v>0</v>
      </c>
      <c r="F64" s="3285"/>
      <c r="G64" s="2686"/>
      <c r="H64" s="3184" t="e">
        <f t="shared" si="3"/>
        <v>#DIV/0!</v>
      </c>
    </row>
    <row r="65" spans="1:8" s="1702" customFormat="1" ht="17.100000000000001" hidden="1" customHeight="1">
      <c r="A65" s="1756"/>
      <c r="B65" s="1831"/>
      <c r="C65" s="2488" t="s">
        <v>988</v>
      </c>
      <c r="D65" s="2504" t="s">
        <v>987</v>
      </c>
      <c r="E65" s="3285">
        <v>0</v>
      </c>
      <c r="F65" s="3285"/>
      <c r="G65" s="2686"/>
      <c r="H65" s="3184" t="e">
        <f t="shared" si="3"/>
        <v>#DIV/0!</v>
      </c>
    </row>
    <row r="66" spans="1:8" s="1702" customFormat="1" ht="17.100000000000001" hidden="1" customHeight="1">
      <c r="A66" s="1756"/>
      <c r="B66" s="1831"/>
      <c r="C66" s="2488" t="s">
        <v>984</v>
      </c>
      <c r="D66" s="2504" t="s">
        <v>983</v>
      </c>
      <c r="E66" s="3285">
        <v>0</v>
      </c>
      <c r="F66" s="3285"/>
      <c r="G66" s="2686"/>
      <c r="H66" s="3184" t="e">
        <f t="shared" si="3"/>
        <v>#DIV/0!</v>
      </c>
    </row>
    <row r="67" spans="1:8" s="1702" customFormat="1" ht="17.100000000000001" hidden="1" customHeight="1">
      <c r="A67" s="1756"/>
      <c r="B67" s="1831"/>
      <c r="C67" s="2699" t="s">
        <v>1089</v>
      </c>
      <c r="D67" s="3124" t="s">
        <v>1092</v>
      </c>
      <c r="E67" s="3285">
        <v>0</v>
      </c>
      <c r="F67" s="3285"/>
      <c r="G67" s="2686"/>
      <c r="H67" s="3184" t="e">
        <f t="shared" si="3"/>
        <v>#DIV/0!</v>
      </c>
    </row>
    <row r="68" spans="1:8" s="1702" customFormat="1" ht="17.100000000000001" hidden="1" customHeight="1">
      <c r="A68" s="1756"/>
      <c r="B68" s="1831"/>
      <c r="C68" s="2488" t="s">
        <v>982</v>
      </c>
      <c r="D68" s="2504" t="s">
        <v>981</v>
      </c>
      <c r="E68" s="3285">
        <v>0</v>
      </c>
      <c r="F68" s="3285"/>
      <c r="G68" s="2686"/>
      <c r="H68" s="3184" t="e">
        <f t="shared" si="3"/>
        <v>#DIV/0!</v>
      </c>
    </row>
    <row r="69" spans="1:8" s="1702" customFormat="1" ht="17.100000000000001" hidden="1" customHeight="1">
      <c r="A69" s="1756"/>
      <c r="B69" s="1831"/>
      <c r="C69" s="1865"/>
      <c r="D69" s="1864"/>
      <c r="E69" s="1877"/>
      <c r="F69" s="3285"/>
      <c r="G69" s="2686"/>
      <c r="H69" s="3184" t="e">
        <f t="shared" si="3"/>
        <v>#DIV/0!</v>
      </c>
    </row>
    <row r="70" spans="1:8" s="1702" customFormat="1" ht="17.100000000000001" hidden="1" customHeight="1">
      <c r="A70" s="1756"/>
      <c r="B70" s="1831"/>
      <c r="C70" s="4627" t="s">
        <v>952</v>
      </c>
      <c r="D70" s="4627"/>
      <c r="E70" s="3285">
        <v>0</v>
      </c>
      <c r="F70" s="3285"/>
      <c r="G70" s="2686"/>
      <c r="H70" s="3184" t="e">
        <f t="shared" si="3"/>
        <v>#DIV/0!</v>
      </c>
    </row>
    <row r="71" spans="1:8" s="1702" customFormat="1" ht="17.100000000000001" hidden="1" customHeight="1" thickBot="1">
      <c r="A71" s="1756"/>
      <c r="B71" s="1831"/>
      <c r="C71" s="3224" t="s">
        <v>980</v>
      </c>
      <c r="D71" s="3223" t="s">
        <v>979</v>
      </c>
      <c r="E71" s="3285">
        <v>0</v>
      </c>
      <c r="F71" s="3285"/>
      <c r="G71" s="2686"/>
      <c r="H71" s="3184" t="e">
        <f t="shared" si="3"/>
        <v>#DIV/0!</v>
      </c>
    </row>
    <row r="72" spans="1:8" s="1702" customFormat="1" ht="17.100000000000001" hidden="1" customHeight="1" thickBot="1">
      <c r="A72" s="1756"/>
      <c r="B72" s="3575" t="s">
        <v>1415</v>
      </c>
      <c r="C72" s="3574"/>
      <c r="D72" s="3573" t="s">
        <v>1414</v>
      </c>
      <c r="E72" s="2133">
        <v>0</v>
      </c>
      <c r="F72" s="3285"/>
      <c r="G72" s="2686"/>
      <c r="H72" s="3184" t="e">
        <f t="shared" si="3"/>
        <v>#DIV/0!</v>
      </c>
    </row>
    <row r="73" spans="1:8" s="1702" customFormat="1" ht="17.100000000000001" hidden="1" customHeight="1">
      <c r="A73" s="1756"/>
      <c r="B73" s="4084"/>
      <c r="C73" s="4599" t="s">
        <v>944</v>
      </c>
      <c r="D73" s="4599"/>
      <c r="E73" s="3454">
        <v>0</v>
      </c>
      <c r="F73" s="3285"/>
      <c r="G73" s="2686"/>
      <c r="H73" s="3184" t="e">
        <f t="shared" si="3"/>
        <v>#DIV/0!</v>
      </c>
    </row>
    <row r="74" spans="1:8" s="1702" customFormat="1" ht="17.100000000000001" hidden="1" customHeight="1">
      <c r="A74" s="1756"/>
      <c r="B74" s="4084"/>
      <c r="C74" s="4622" t="s">
        <v>967</v>
      </c>
      <c r="D74" s="4622"/>
      <c r="E74" s="3285">
        <v>0</v>
      </c>
      <c r="F74" s="3285"/>
      <c r="G74" s="2686"/>
      <c r="H74" s="3184" t="e">
        <f t="shared" si="3"/>
        <v>#DIV/0!</v>
      </c>
    </row>
    <row r="75" spans="1:8" s="1702" customFormat="1" ht="17.100000000000001" hidden="1" customHeight="1">
      <c r="A75" s="1756"/>
      <c r="B75" s="4084"/>
      <c r="C75" s="4662" t="s">
        <v>966</v>
      </c>
      <c r="D75" s="4662"/>
      <c r="E75" s="3286">
        <v>0</v>
      </c>
      <c r="F75" s="3285"/>
      <c r="G75" s="2686"/>
      <c r="H75" s="3184" t="e">
        <f t="shared" si="3"/>
        <v>#DIV/0!</v>
      </c>
    </row>
    <row r="76" spans="1:8" s="1702" customFormat="1" ht="18.75" hidden="1" customHeight="1">
      <c r="A76" s="1756"/>
      <c r="B76" s="4084"/>
      <c r="C76" s="3496" t="s">
        <v>1016</v>
      </c>
      <c r="D76" s="3495" t="s">
        <v>1015</v>
      </c>
      <c r="E76" s="3285">
        <v>0</v>
      </c>
      <c r="F76" s="3285"/>
      <c r="G76" s="2686"/>
      <c r="H76" s="3184" t="e">
        <f t="shared" ref="H76:H107" si="4">G76/F76</f>
        <v>#DIV/0!</v>
      </c>
    </row>
    <row r="77" spans="1:8" s="1702" customFormat="1" ht="17.100000000000001" hidden="1" customHeight="1">
      <c r="A77" s="1756"/>
      <c r="B77" s="4084"/>
      <c r="C77" s="3496" t="s">
        <v>1014</v>
      </c>
      <c r="D77" s="3495" t="s">
        <v>1013</v>
      </c>
      <c r="E77" s="3285">
        <v>0</v>
      </c>
      <c r="F77" s="3285"/>
      <c r="G77" s="2686"/>
      <c r="H77" s="3184" t="e">
        <f t="shared" si="4"/>
        <v>#DIV/0!</v>
      </c>
    </row>
    <row r="78" spans="1:8" s="1702" customFormat="1" ht="17.100000000000001" hidden="1" customHeight="1">
      <c r="A78" s="1756"/>
      <c r="B78" s="4084"/>
      <c r="C78" s="3496" t="s">
        <v>965</v>
      </c>
      <c r="D78" s="3495" t="s">
        <v>964</v>
      </c>
      <c r="E78" s="3285">
        <v>0</v>
      </c>
      <c r="F78" s="3285"/>
      <c r="G78" s="2686"/>
      <c r="H78" s="3184" t="e">
        <f t="shared" si="4"/>
        <v>#DIV/0!</v>
      </c>
    </row>
    <row r="79" spans="1:8" s="1702" customFormat="1" ht="17.100000000000001" hidden="1" customHeight="1">
      <c r="A79" s="1756"/>
      <c r="B79" s="4084"/>
      <c r="C79" s="3496" t="s">
        <v>963</v>
      </c>
      <c r="D79" s="3495" t="s">
        <v>1067</v>
      </c>
      <c r="E79" s="3285">
        <v>0</v>
      </c>
      <c r="F79" s="3285"/>
      <c r="G79" s="2686"/>
      <c r="H79" s="3184" t="e">
        <f t="shared" si="4"/>
        <v>#DIV/0!</v>
      </c>
    </row>
    <row r="80" spans="1:8" s="1702" customFormat="1" ht="17.100000000000001" hidden="1" customHeight="1">
      <c r="A80" s="1756"/>
      <c r="B80" s="4084"/>
      <c r="C80" s="2766"/>
      <c r="D80" s="3568"/>
      <c r="E80" s="3501"/>
      <c r="F80" s="3285"/>
      <c r="G80" s="2686"/>
      <c r="H80" s="3184" t="e">
        <f t="shared" si="4"/>
        <v>#DIV/0!</v>
      </c>
    </row>
    <row r="81" spans="1:8" s="1702" customFormat="1" ht="17.100000000000001" hidden="1" customHeight="1">
      <c r="A81" s="1756"/>
      <c r="B81" s="4084"/>
      <c r="C81" s="4666" t="s">
        <v>961</v>
      </c>
      <c r="D81" s="4623"/>
      <c r="E81" s="3286">
        <v>0</v>
      </c>
      <c r="F81" s="3285"/>
      <c r="G81" s="2686"/>
      <c r="H81" s="3184" t="e">
        <f t="shared" si="4"/>
        <v>#DIV/0!</v>
      </c>
    </row>
    <row r="82" spans="1:8" s="1702" customFormat="1" ht="17.100000000000001" hidden="1" customHeight="1">
      <c r="A82" s="1756"/>
      <c r="B82" s="4084"/>
      <c r="C82" s="3304" t="s">
        <v>613</v>
      </c>
      <c r="D82" s="3495" t="s">
        <v>960</v>
      </c>
      <c r="E82" s="3285">
        <v>0</v>
      </c>
      <c r="F82" s="3285"/>
      <c r="G82" s="2686"/>
      <c r="H82" s="3184" t="e">
        <f t="shared" si="4"/>
        <v>#DIV/0!</v>
      </c>
    </row>
    <row r="83" spans="1:8" s="1702" customFormat="1" ht="17.100000000000001" hidden="1" customHeight="1">
      <c r="A83" s="1756"/>
      <c r="B83" s="4084"/>
      <c r="C83" s="3496" t="s">
        <v>1004</v>
      </c>
      <c r="D83" s="3495" t="s">
        <v>1003</v>
      </c>
      <c r="E83" s="3285">
        <v>0</v>
      </c>
      <c r="F83" s="3285"/>
      <c r="G83" s="2686"/>
      <c r="H83" s="3184" t="e">
        <f t="shared" si="4"/>
        <v>#DIV/0!</v>
      </c>
    </row>
    <row r="84" spans="1:8" s="1702" customFormat="1" ht="17.100000000000001" hidden="1" customHeight="1">
      <c r="A84" s="1756"/>
      <c r="B84" s="4084"/>
      <c r="C84" s="3496" t="s">
        <v>1002</v>
      </c>
      <c r="D84" s="3495" t="s">
        <v>1001</v>
      </c>
      <c r="E84" s="3285">
        <v>0</v>
      </c>
      <c r="F84" s="3285"/>
      <c r="G84" s="2686"/>
      <c r="H84" s="3184" t="e">
        <f t="shared" si="4"/>
        <v>#DIV/0!</v>
      </c>
    </row>
    <row r="85" spans="1:8" s="1702" customFormat="1" ht="17.100000000000001" hidden="1" customHeight="1">
      <c r="A85" s="1756"/>
      <c r="B85" s="4084"/>
      <c r="C85" s="3496" t="s">
        <v>1000</v>
      </c>
      <c r="D85" s="3495" t="s">
        <v>999</v>
      </c>
      <c r="E85" s="3285">
        <v>0</v>
      </c>
      <c r="F85" s="3285"/>
      <c r="G85" s="2686"/>
      <c r="H85" s="3184" t="e">
        <f t="shared" si="4"/>
        <v>#DIV/0!</v>
      </c>
    </row>
    <row r="86" spans="1:8" s="1702" customFormat="1" ht="17.100000000000001" hidden="1" customHeight="1">
      <c r="A86" s="1756"/>
      <c r="B86" s="4084"/>
      <c r="C86" s="3496" t="s">
        <v>959</v>
      </c>
      <c r="D86" s="3495" t="s">
        <v>958</v>
      </c>
      <c r="E86" s="3285">
        <v>0</v>
      </c>
      <c r="F86" s="3285"/>
      <c r="G86" s="2686"/>
      <c r="H86" s="3184" t="e">
        <f t="shared" si="4"/>
        <v>#DIV/0!</v>
      </c>
    </row>
    <row r="87" spans="1:8" s="1702" customFormat="1" ht="16.5" hidden="1" customHeight="1">
      <c r="A87" s="1756"/>
      <c r="B87" s="4084"/>
      <c r="C87" s="3496" t="s">
        <v>998</v>
      </c>
      <c r="D87" s="3495" t="s">
        <v>997</v>
      </c>
      <c r="E87" s="3285">
        <v>0</v>
      </c>
      <c r="F87" s="3285"/>
      <c r="G87" s="2686"/>
      <c r="H87" s="3184" t="e">
        <f t="shared" si="4"/>
        <v>#DIV/0!</v>
      </c>
    </row>
    <row r="88" spans="1:8" s="1702" customFormat="1" ht="17.100000000000001" hidden="1" customHeight="1">
      <c r="A88" s="1756"/>
      <c r="B88" s="4084"/>
      <c r="C88" s="3496" t="s">
        <v>986</v>
      </c>
      <c r="D88" s="3495" t="s">
        <v>985</v>
      </c>
      <c r="E88" s="3285">
        <v>0</v>
      </c>
      <c r="F88" s="3285"/>
      <c r="G88" s="2686"/>
      <c r="H88" s="3184" t="e">
        <f t="shared" si="4"/>
        <v>#DIV/0!</v>
      </c>
    </row>
    <row r="89" spans="1:8" s="1702" customFormat="1" ht="17.100000000000001" hidden="1" customHeight="1">
      <c r="A89" s="1756"/>
      <c r="B89" s="4084"/>
      <c r="C89" s="3496" t="s">
        <v>984</v>
      </c>
      <c r="D89" s="3495" t="s">
        <v>983</v>
      </c>
      <c r="E89" s="3285">
        <v>0</v>
      </c>
      <c r="F89" s="3285"/>
      <c r="G89" s="2686"/>
      <c r="H89" s="3184" t="e">
        <f t="shared" si="4"/>
        <v>#DIV/0!</v>
      </c>
    </row>
    <row r="90" spans="1:8" s="1702" customFormat="1" ht="17.100000000000001" hidden="1" customHeight="1">
      <c r="A90" s="1756"/>
      <c r="B90" s="4084"/>
      <c r="C90" s="3494" t="s">
        <v>1330</v>
      </c>
      <c r="D90" s="3493" t="s">
        <v>1329</v>
      </c>
      <c r="E90" s="3285">
        <v>0</v>
      </c>
      <c r="F90" s="3285"/>
      <c r="G90" s="2686"/>
      <c r="H90" s="3184" t="e">
        <f t="shared" si="4"/>
        <v>#DIV/0!</v>
      </c>
    </row>
    <row r="91" spans="1:8" s="1702" customFormat="1" ht="17.100000000000001" hidden="1" customHeight="1">
      <c r="A91" s="1756"/>
      <c r="B91" s="4084"/>
      <c r="C91" s="4667"/>
      <c r="D91" s="4668"/>
      <c r="E91" s="3572"/>
      <c r="F91" s="3285"/>
      <c r="G91" s="2686"/>
      <c r="H91" s="3184" t="e">
        <f t="shared" si="4"/>
        <v>#DIV/0!</v>
      </c>
    </row>
    <row r="92" spans="1:8" s="1702" customFormat="1" ht="17.100000000000001" hidden="1" customHeight="1">
      <c r="A92" s="1756"/>
      <c r="B92" s="4084"/>
      <c r="C92" s="4619" t="s">
        <v>952</v>
      </c>
      <c r="D92" s="4619"/>
      <c r="E92" s="3571">
        <v>0</v>
      </c>
      <c r="F92" s="3285"/>
      <c r="G92" s="2686"/>
      <c r="H92" s="3184" t="e">
        <f t="shared" si="4"/>
        <v>#DIV/0!</v>
      </c>
    </row>
    <row r="93" spans="1:8" s="1702" customFormat="1" ht="17.100000000000001" hidden="1" customHeight="1">
      <c r="A93" s="1756"/>
      <c r="B93" s="4084"/>
      <c r="C93" s="3543" t="s">
        <v>980</v>
      </c>
      <c r="D93" s="3544" t="s">
        <v>979</v>
      </c>
      <c r="E93" s="3570">
        <v>0</v>
      </c>
      <c r="F93" s="3285"/>
      <c r="G93" s="2686"/>
      <c r="H93" s="3184" t="e">
        <f t="shared" si="4"/>
        <v>#DIV/0!</v>
      </c>
    </row>
    <row r="94" spans="1:8" s="1702" customFormat="1" ht="17.100000000000001" hidden="1" customHeight="1">
      <c r="A94" s="1756"/>
      <c r="B94" s="4084"/>
      <c r="C94" s="2766"/>
      <c r="D94" s="2766"/>
      <c r="E94" s="2765"/>
      <c r="F94" s="3285"/>
      <c r="G94" s="2686"/>
      <c r="H94" s="3184" t="e">
        <f t="shared" si="4"/>
        <v>#DIV/0!</v>
      </c>
    </row>
    <row r="95" spans="1:8" s="1702" customFormat="1" ht="17.100000000000001" hidden="1" customHeight="1">
      <c r="A95" s="1756"/>
      <c r="B95" s="4084"/>
      <c r="C95" s="4537" t="s">
        <v>941</v>
      </c>
      <c r="D95" s="4664"/>
      <c r="E95" s="3287">
        <v>0</v>
      </c>
      <c r="F95" s="3285"/>
      <c r="G95" s="2686"/>
      <c r="H95" s="3184" t="e">
        <f t="shared" si="4"/>
        <v>#DIV/0!</v>
      </c>
    </row>
    <row r="96" spans="1:8" s="1702" customFormat="1" ht="17.100000000000001" hidden="1" customHeight="1">
      <c r="A96" s="1756"/>
      <c r="B96" s="4084"/>
      <c r="C96" s="4627" t="s">
        <v>940</v>
      </c>
      <c r="D96" s="4627"/>
      <c r="E96" s="3285">
        <v>0</v>
      </c>
      <c r="F96" s="3285"/>
      <c r="G96" s="2686"/>
      <c r="H96" s="3184" t="e">
        <f t="shared" si="4"/>
        <v>#DIV/0!</v>
      </c>
    </row>
    <row r="97" spans="1:10" s="1702" customFormat="1" ht="20.25" hidden="1" customHeight="1">
      <c r="A97" s="1756"/>
      <c r="B97" s="4084"/>
      <c r="C97" s="3224" t="s">
        <v>546</v>
      </c>
      <c r="D97" s="3271" t="s">
        <v>1023</v>
      </c>
      <c r="E97" s="3285">
        <v>0</v>
      </c>
      <c r="F97" s="3285"/>
      <c r="G97" s="2686"/>
      <c r="H97" s="3184" t="e">
        <f t="shared" si="4"/>
        <v>#DIV/0!</v>
      </c>
    </row>
    <row r="98" spans="1:10" s="1702" customFormat="1" ht="55.5" hidden="1" customHeight="1">
      <c r="A98" s="1756"/>
      <c r="B98" s="4084"/>
      <c r="C98" s="2696" t="s">
        <v>1410</v>
      </c>
      <c r="D98" s="3569" t="s">
        <v>1135</v>
      </c>
      <c r="E98" s="3285">
        <v>0</v>
      </c>
      <c r="F98" s="3285"/>
      <c r="G98" s="2686"/>
      <c r="H98" s="3184" t="e">
        <f t="shared" si="4"/>
        <v>#DIV/0!</v>
      </c>
    </row>
    <row r="99" spans="1:10" s="1702" customFormat="1" ht="17.100000000000001" hidden="1" customHeight="1">
      <c r="A99" s="1756"/>
      <c r="B99" s="4404"/>
      <c r="C99" s="2766"/>
      <c r="D99" s="3568"/>
      <c r="E99" s="3501"/>
      <c r="F99" s="3285"/>
      <c r="G99" s="2686"/>
      <c r="H99" s="3184" t="e">
        <f t="shared" si="4"/>
        <v>#DIV/0!</v>
      </c>
    </row>
    <row r="100" spans="1:10" s="1702" customFormat="1" ht="17.100000000000001" hidden="1" customHeight="1">
      <c r="A100" s="1756"/>
      <c r="B100" s="4404"/>
      <c r="C100" s="4623" t="s">
        <v>1024</v>
      </c>
      <c r="D100" s="4665"/>
      <c r="E100" s="3285">
        <v>0</v>
      </c>
      <c r="F100" s="3285"/>
      <c r="G100" s="2686"/>
      <c r="H100" s="3184" t="e">
        <f t="shared" si="4"/>
        <v>#DIV/0!</v>
      </c>
    </row>
    <row r="101" spans="1:10" s="1702" customFormat="1" ht="17.100000000000001" hidden="1" customHeight="1" thickBot="1">
      <c r="A101" s="1756"/>
      <c r="B101" s="4404"/>
      <c r="C101" s="3567" t="s">
        <v>546</v>
      </c>
      <c r="D101" s="3566" t="s">
        <v>1023</v>
      </c>
      <c r="E101" s="3284">
        <v>0</v>
      </c>
      <c r="F101" s="3284"/>
      <c r="G101" s="3283"/>
      <c r="H101" s="3282" t="e">
        <f t="shared" si="4"/>
        <v>#DIV/0!</v>
      </c>
    </row>
    <row r="102" spans="1:10" s="1702" customFormat="1" ht="17.100000000000001" customHeight="1" thickBot="1">
      <c r="A102" s="1756"/>
      <c r="B102" s="1768" t="s">
        <v>33</v>
      </c>
      <c r="C102" s="1839"/>
      <c r="D102" s="1838" t="s">
        <v>1413</v>
      </c>
      <c r="E102" s="1818">
        <f t="shared" ref="E102:G103" si="5">SUM(E103)</f>
        <v>9000000</v>
      </c>
      <c r="F102" s="1818">
        <f t="shared" si="5"/>
        <v>9000129</v>
      </c>
      <c r="G102" s="1817">
        <f t="shared" si="5"/>
        <v>8810000</v>
      </c>
      <c r="H102" s="1763">
        <f t="shared" si="4"/>
        <v>0.97887485834925259</v>
      </c>
      <c r="J102" s="1702" t="s">
        <v>1406</v>
      </c>
    </row>
    <row r="103" spans="1:10" s="1702" customFormat="1" ht="17.100000000000001" customHeight="1">
      <c r="A103" s="1756"/>
      <c r="B103" s="3348"/>
      <c r="C103" s="4207" t="s">
        <v>944</v>
      </c>
      <c r="D103" s="4099"/>
      <c r="E103" s="2538">
        <f t="shared" si="5"/>
        <v>9000000</v>
      </c>
      <c r="F103" s="2538">
        <f t="shared" si="5"/>
        <v>9000129</v>
      </c>
      <c r="G103" s="1761">
        <f t="shared" si="5"/>
        <v>8810000</v>
      </c>
      <c r="H103" s="2809">
        <f t="shared" si="4"/>
        <v>0.97887485834925259</v>
      </c>
    </row>
    <row r="104" spans="1:10" s="1702" customFormat="1" ht="17.100000000000001" customHeight="1" thickBot="1">
      <c r="A104" s="1756"/>
      <c r="B104" s="3343"/>
      <c r="C104" s="4660" t="s">
        <v>976</v>
      </c>
      <c r="D104" s="4661"/>
      <c r="E104" s="3285">
        <f>SUM(E105:E139)</f>
        <v>9000000</v>
      </c>
      <c r="F104" s="3285">
        <f>SUM(F105:F139)</f>
        <v>9000129</v>
      </c>
      <c r="G104" s="2686">
        <f>SUM(G105:G139)</f>
        <v>8810000</v>
      </c>
      <c r="H104" s="3184">
        <f t="shared" si="4"/>
        <v>0.97887485834925259</v>
      </c>
    </row>
    <row r="105" spans="1:10" s="1702" customFormat="1" ht="64.5" hidden="1" thickBot="1">
      <c r="A105" s="1756"/>
      <c r="B105" s="3343"/>
      <c r="C105" s="3565" t="s">
        <v>480</v>
      </c>
      <c r="D105" s="3564" t="s">
        <v>1192</v>
      </c>
      <c r="E105" s="2500">
        <v>0</v>
      </c>
      <c r="F105" s="2500">
        <v>659716</v>
      </c>
      <c r="G105" s="1802">
        <v>0</v>
      </c>
      <c r="H105" s="3184">
        <f t="shared" si="4"/>
        <v>0</v>
      </c>
    </row>
    <row r="106" spans="1:10" s="1702" customFormat="1" ht="64.5" hidden="1" thickBot="1">
      <c r="A106" s="1756"/>
      <c r="B106" s="3343"/>
      <c r="C106" s="3546" t="s">
        <v>359</v>
      </c>
      <c r="D106" s="3564" t="s">
        <v>1192</v>
      </c>
      <c r="E106" s="3285">
        <v>0</v>
      </c>
      <c r="F106" s="3285">
        <v>377084</v>
      </c>
      <c r="G106" s="2686">
        <v>0</v>
      </c>
      <c r="H106" s="3184">
        <f t="shared" si="4"/>
        <v>0</v>
      </c>
    </row>
    <row r="107" spans="1:10" s="1702" customFormat="1" ht="57" hidden="1" customHeight="1">
      <c r="A107" s="1756"/>
      <c r="B107" s="3343"/>
      <c r="C107" s="3546" t="s">
        <v>174</v>
      </c>
      <c r="D107" s="3564" t="s">
        <v>1095</v>
      </c>
      <c r="E107" s="3285">
        <v>0</v>
      </c>
      <c r="F107" s="3285">
        <v>128453</v>
      </c>
      <c r="G107" s="2686">
        <v>0</v>
      </c>
      <c r="H107" s="3184">
        <f t="shared" si="4"/>
        <v>0</v>
      </c>
    </row>
    <row r="108" spans="1:10" s="1702" customFormat="1" ht="54.75" hidden="1" customHeight="1">
      <c r="A108" s="1756"/>
      <c r="B108" s="3343"/>
      <c r="C108" s="3546" t="s">
        <v>185</v>
      </c>
      <c r="D108" s="3564" t="s">
        <v>1095</v>
      </c>
      <c r="E108" s="3285">
        <v>0</v>
      </c>
      <c r="F108" s="3285">
        <v>73422</v>
      </c>
      <c r="G108" s="2686">
        <v>0</v>
      </c>
      <c r="H108" s="3184">
        <f t="shared" ref="H108:H139" si="6">G108/F108</f>
        <v>0</v>
      </c>
    </row>
    <row r="109" spans="1:10" s="1702" customFormat="1" ht="52.5" hidden="1" customHeight="1">
      <c r="A109" s="1831"/>
      <c r="B109" s="3343"/>
      <c r="C109" s="3459" t="s">
        <v>364</v>
      </c>
      <c r="D109" s="3563" t="s">
        <v>1116</v>
      </c>
      <c r="E109" s="3285">
        <v>0</v>
      </c>
      <c r="F109" s="3285">
        <v>117</v>
      </c>
      <c r="G109" s="2686">
        <v>0</v>
      </c>
      <c r="H109" s="3184">
        <f t="shared" si="6"/>
        <v>0</v>
      </c>
    </row>
    <row r="110" spans="1:10" s="1702" customFormat="1" ht="54" hidden="1" customHeight="1" thickBot="1">
      <c r="A110" s="1756"/>
      <c r="B110" s="3343"/>
      <c r="C110" s="3562" t="s">
        <v>300</v>
      </c>
      <c r="D110" s="3288" t="s">
        <v>1116</v>
      </c>
      <c r="E110" s="1877">
        <v>0</v>
      </c>
      <c r="F110" s="1877">
        <v>67</v>
      </c>
      <c r="G110" s="1876">
        <v>0</v>
      </c>
      <c r="H110" s="1871">
        <f t="shared" si="6"/>
        <v>0</v>
      </c>
    </row>
    <row r="111" spans="1:10" s="1702" customFormat="1" ht="17.100000000000001" customHeight="1">
      <c r="A111" s="1831"/>
      <c r="B111" s="3343"/>
      <c r="C111" s="3304" t="s">
        <v>479</v>
      </c>
      <c r="D111" s="3303" t="s">
        <v>1015</v>
      </c>
      <c r="E111" s="3285">
        <v>2926980</v>
      </c>
      <c r="F111" s="3285">
        <v>3047877</v>
      </c>
      <c r="G111" s="2686">
        <v>3161610</v>
      </c>
      <c r="H111" s="2099">
        <f t="shared" si="6"/>
        <v>1.0373154822192627</v>
      </c>
    </row>
    <row r="112" spans="1:10" s="1702" customFormat="1" ht="17.100000000000001" customHeight="1">
      <c r="A112" s="1756"/>
      <c r="B112" s="3343"/>
      <c r="C112" s="3496" t="s">
        <v>461</v>
      </c>
      <c r="D112" s="3483" t="s">
        <v>1015</v>
      </c>
      <c r="E112" s="3285">
        <v>1673020</v>
      </c>
      <c r="F112" s="3285">
        <v>1742123</v>
      </c>
      <c r="G112" s="2686">
        <v>1808390</v>
      </c>
      <c r="H112" s="3184">
        <f t="shared" si="6"/>
        <v>1.0380380719386633</v>
      </c>
    </row>
    <row r="113" spans="1:8" s="1702" customFormat="1" ht="17.100000000000001" customHeight="1">
      <c r="A113" s="1831"/>
      <c r="B113" s="3343"/>
      <c r="C113" s="3224" t="s">
        <v>536</v>
      </c>
      <c r="D113" s="3271" t="s">
        <v>1013</v>
      </c>
      <c r="E113" s="3285">
        <v>222006</v>
      </c>
      <c r="F113" s="3285">
        <v>202917</v>
      </c>
      <c r="G113" s="2686">
        <v>254520</v>
      </c>
      <c r="H113" s="3184">
        <f t="shared" si="6"/>
        <v>1.2543059477520366</v>
      </c>
    </row>
    <row r="114" spans="1:8" s="1702" customFormat="1" ht="17.100000000000001" customHeight="1">
      <c r="A114" s="1756"/>
      <c r="B114" s="3329"/>
      <c r="C114" s="3543" t="s">
        <v>493</v>
      </c>
      <c r="D114" s="3506" t="s">
        <v>1013</v>
      </c>
      <c r="E114" s="2500">
        <v>127994</v>
      </c>
      <c r="F114" s="3285">
        <v>117083</v>
      </c>
      <c r="G114" s="2686">
        <v>145480</v>
      </c>
      <c r="H114" s="3184">
        <f t="shared" si="6"/>
        <v>1.2425373453020507</v>
      </c>
    </row>
    <row r="115" spans="1:8" s="1702" customFormat="1" ht="17.100000000000001" customHeight="1" thickBot="1">
      <c r="A115" s="1743"/>
      <c r="B115" s="3326"/>
      <c r="C115" s="3205" t="s">
        <v>478</v>
      </c>
      <c r="D115" s="3306" t="s">
        <v>964</v>
      </c>
      <c r="E115" s="2636">
        <v>535765</v>
      </c>
      <c r="F115" s="2636">
        <v>558036</v>
      </c>
      <c r="G115" s="1738">
        <v>604485</v>
      </c>
      <c r="H115" s="3184">
        <f t="shared" si="6"/>
        <v>1.0832365653828786</v>
      </c>
    </row>
    <row r="116" spans="1:8" s="1702" customFormat="1" ht="17.100000000000001" customHeight="1">
      <c r="A116" s="1886"/>
      <c r="B116" s="3561"/>
      <c r="C116" s="2794" t="s">
        <v>459</v>
      </c>
      <c r="D116" s="2748" t="s">
        <v>964</v>
      </c>
      <c r="E116" s="3230">
        <v>306235</v>
      </c>
      <c r="F116" s="3230">
        <v>318964</v>
      </c>
      <c r="G116" s="2141">
        <v>345515</v>
      </c>
      <c r="H116" s="3184">
        <f t="shared" si="6"/>
        <v>1.0832413689319171</v>
      </c>
    </row>
    <row r="117" spans="1:8" s="1702" customFormat="1" ht="16.5" customHeight="1">
      <c r="A117" s="1756"/>
      <c r="B117" s="3329"/>
      <c r="C117" s="3496" t="s">
        <v>477</v>
      </c>
      <c r="D117" s="3483" t="s">
        <v>962</v>
      </c>
      <c r="E117" s="3285">
        <v>79537</v>
      </c>
      <c r="F117" s="3285">
        <v>82719</v>
      </c>
      <c r="G117" s="2686">
        <v>89082</v>
      </c>
      <c r="H117" s="3184">
        <f t="shared" si="6"/>
        <v>1.0769230769230769</v>
      </c>
    </row>
    <row r="118" spans="1:8" s="1702" customFormat="1" ht="16.5" customHeight="1">
      <c r="A118" s="1756"/>
      <c r="B118" s="3329"/>
      <c r="C118" s="3496" t="s">
        <v>457</v>
      </c>
      <c r="D118" s="3483" t="s">
        <v>962</v>
      </c>
      <c r="E118" s="3285">
        <v>45463</v>
      </c>
      <c r="F118" s="3285">
        <v>47281</v>
      </c>
      <c r="G118" s="2686">
        <v>50918</v>
      </c>
      <c r="H118" s="3184">
        <f t="shared" si="6"/>
        <v>1.0769230769230769</v>
      </c>
    </row>
    <row r="119" spans="1:8" s="1702" customFormat="1" ht="17.100000000000001" customHeight="1">
      <c r="A119" s="1756"/>
      <c r="B119" s="3329"/>
      <c r="C119" s="3496" t="s">
        <v>535</v>
      </c>
      <c r="D119" s="3483" t="s">
        <v>973</v>
      </c>
      <c r="E119" s="3285">
        <v>6363</v>
      </c>
      <c r="F119" s="3285">
        <v>6363</v>
      </c>
      <c r="G119" s="2686">
        <v>6363</v>
      </c>
      <c r="H119" s="3184">
        <f t="shared" si="6"/>
        <v>1</v>
      </c>
    </row>
    <row r="120" spans="1:8" s="1702" customFormat="1" ht="17.100000000000001" customHeight="1">
      <c r="A120" s="1756"/>
      <c r="B120" s="3329"/>
      <c r="C120" s="3496" t="s">
        <v>455</v>
      </c>
      <c r="D120" s="3483" t="s">
        <v>973</v>
      </c>
      <c r="E120" s="3285">
        <v>3637</v>
      </c>
      <c r="F120" s="3285">
        <v>3637</v>
      </c>
      <c r="G120" s="2686">
        <v>3637</v>
      </c>
      <c r="H120" s="3184">
        <f t="shared" si="6"/>
        <v>1</v>
      </c>
    </row>
    <row r="121" spans="1:8" s="1702" customFormat="1" ht="17.100000000000001" customHeight="1">
      <c r="A121" s="1756"/>
      <c r="B121" s="3329"/>
      <c r="C121" s="3496" t="s">
        <v>588</v>
      </c>
      <c r="D121" s="3483" t="s">
        <v>1009</v>
      </c>
      <c r="E121" s="3285">
        <v>190890</v>
      </c>
      <c r="F121" s="3285">
        <v>82719</v>
      </c>
      <c r="G121" s="2686">
        <v>190890</v>
      </c>
      <c r="H121" s="3184">
        <f t="shared" si="6"/>
        <v>2.3076923076923075</v>
      </c>
    </row>
    <row r="122" spans="1:8" s="1702" customFormat="1" ht="17.100000000000001" customHeight="1">
      <c r="A122" s="1756"/>
      <c r="B122" s="3329"/>
      <c r="C122" s="3496" t="s">
        <v>587</v>
      </c>
      <c r="D122" s="3483" t="s">
        <v>1009</v>
      </c>
      <c r="E122" s="3285">
        <v>109110</v>
      </c>
      <c r="F122" s="3285">
        <v>47281</v>
      </c>
      <c r="G122" s="2686">
        <v>109110</v>
      </c>
      <c r="H122" s="3184">
        <f t="shared" si="6"/>
        <v>2.3076923076923075</v>
      </c>
    </row>
    <row r="123" spans="1:8" s="1702" customFormat="1" ht="17.100000000000001" customHeight="1">
      <c r="A123" s="1756"/>
      <c r="B123" s="3329"/>
      <c r="C123" s="3496" t="s">
        <v>533</v>
      </c>
      <c r="D123" s="3483" t="s">
        <v>960</v>
      </c>
      <c r="E123" s="3285">
        <v>336602</v>
      </c>
      <c r="F123" s="3285">
        <v>321966</v>
      </c>
      <c r="G123" s="2686">
        <v>463226</v>
      </c>
      <c r="H123" s="3184">
        <f t="shared" si="6"/>
        <v>1.4387419789667233</v>
      </c>
    </row>
    <row r="124" spans="1:8" s="1702" customFormat="1" ht="17.100000000000001" customHeight="1">
      <c r="A124" s="1756"/>
      <c r="B124" s="3329"/>
      <c r="C124" s="3496" t="s">
        <v>449</v>
      </c>
      <c r="D124" s="3483" t="s">
        <v>960</v>
      </c>
      <c r="E124" s="3285">
        <v>192398</v>
      </c>
      <c r="F124" s="3285">
        <v>184034</v>
      </c>
      <c r="G124" s="2686">
        <v>264774</v>
      </c>
      <c r="H124" s="3184">
        <f t="shared" si="6"/>
        <v>1.438723279394025</v>
      </c>
    </row>
    <row r="125" spans="1:8" s="1702" customFormat="1" ht="17.100000000000001" customHeight="1">
      <c r="A125" s="1756"/>
      <c r="B125" s="3329"/>
      <c r="C125" s="3496" t="s">
        <v>531</v>
      </c>
      <c r="D125" s="3483" t="s">
        <v>1001</v>
      </c>
      <c r="E125" s="3285">
        <v>6999</v>
      </c>
      <c r="F125" s="3285">
        <v>13362</v>
      </c>
      <c r="G125" s="2686">
        <v>13362</v>
      </c>
      <c r="H125" s="3184">
        <f t="shared" si="6"/>
        <v>1</v>
      </c>
    </row>
    <row r="126" spans="1:8" s="1702" customFormat="1" ht="17.100000000000001" customHeight="1">
      <c r="A126" s="1756"/>
      <c r="B126" s="3329"/>
      <c r="C126" s="3496" t="s">
        <v>513</v>
      </c>
      <c r="D126" s="3483" t="s">
        <v>1001</v>
      </c>
      <c r="E126" s="3285">
        <v>4001</v>
      </c>
      <c r="F126" s="3285">
        <v>7638</v>
      </c>
      <c r="G126" s="2686">
        <v>7638</v>
      </c>
      <c r="H126" s="3184">
        <f t="shared" si="6"/>
        <v>1</v>
      </c>
    </row>
    <row r="127" spans="1:8" s="1702" customFormat="1" ht="17.100000000000001" customHeight="1">
      <c r="A127" s="1756"/>
      <c r="B127" s="3329"/>
      <c r="C127" s="3496" t="s">
        <v>529</v>
      </c>
      <c r="D127" s="3483" t="s">
        <v>958</v>
      </c>
      <c r="E127" s="3285">
        <v>1352138</v>
      </c>
      <c r="F127" s="3285">
        <v>565241</v>
      </c>
      <c r="G127" s="2686">
        <v>747652</v>
      </c>
      <c r="H127" s="3184">
        <f t="shared" si="6"/>
        <v>1.3227136743442178</v>
      </c>
    </row>
    <row r="128" spans="1:8" s="1702" customFormat="1" ht="17.100000000000001" customHeight="1">
      <c r="A128" s="1756"/>
      <c r="B128" s="3329"/>
      <c r="C128" s="3496" t="s">
        <v>445</v>
      </c>
      <c r="D128" s="3483" t="s">
        <v>958</v>
      </c>
      <c r="E128" s="3285">
        <v>772862</v>
      </c>
      <c r="F128" s="3285">
        <v>323084</v>
      </c>
      <c r="G128" s="2686">
        <v>427348</v>
      </c>
      <c r="H128" s="3184">
        <f t="shared" si="6"/>
        <v>1.3227148357702641</v>
      </c>
    </row>
    <row r="129" spans="1:10" s="1702" customFormat="1" ht="17.100000000000001" customHeight="1">
      <c r="A129" s="1756"/>
      <c r="B129" s="3329"/>
      <c r="C129" s="3496" t="s">
        <v>591</v>
      </c>
      <c r="D129" s="3483" t="s">
        <v>995</v>
      </c>
      <c r="E129" s="3285">
        <v>2545</v>
      </c>
      <c r="F129" s="3285">
        <v>2545</v>
      </c>
      <c r="G129" s="2686">
        <v>3181</v>
      </c>
      <c r="H129" s="3184">
        <f t="shared" si="6"/>
        <v>1.2499017681728881</v>
      </c>
    </row>
    <row r="130" spans="1:10" s="1702" customFormat="1" ht="17.100000000000001" customHeight="1">
      <c r="A130" s="1756"/>
      <c r="B130" s="3329"/>
      <c r="C130" s="3496" t="s">
        <v>491</v>
      </c>
      <c r="D130" s="3483" t="s">
        <v>995</v>
      </c>
      <c r="E130" s="3285">
        <v>1455</v>
      </c>
      <c r="F130" s="3285">
        <v>1455</v>
      </c>
      <c r="G130" s="2686">
        <v>1819</v>
      </c>
      <c r="H130" s="3184">
        <f t="shared" si="6"/>
        <v>1.2501718213058419</v>
      </c>
    </row>
    <row r="131" spans="1:10" s="1702" customFormat="1" ht="17.100000000000001" customHeight="1">
      <c r="A131" s="1756"/>
      <c r="B131" s="3329"/>
      <c r="C131" s="3496" t="s">
        <v>524</v>
      </c>
      <c r="D131" s="3483" t="s">
        <v>991</v>
      </c>
      <c r="E131" s="3285">
        <v>10817</v>
      </c>
      <c r="F131" s="3285">
        <v>10181</v>
      </c>
      <c r="G131" s="2686">
        <v>10817</v>
      </c>
      <c r="H131" s="3184">
        <f t="shared" si="6"/>
        <v>1.0624693055691976</v>
      </c>
    </row>
    <row r="132" spans="1:10" s="1702" customFormat="1" ht="17.100000000000001" customHeight="1">
      <c r="A132" s="1756"/>
      <c r="B132" s="3329"/>
      <c r="C132" s="3496" t="s">
        <v>466</v>
      </c>
      <c r="D132" s="3483" t="s">
        <v>991</v>
      </c>
      <c r="E132" s="3285">
        <v>6183</v>
      </c>
      <c r="F132" s="3285">
        <v>5819</v>
      </c>
      <c r="G132" s="2686">
        <v>6183</v>
      </c>
      <c r="H132" s="3184">
        <f t="shared" si="6"/>
        <v>1.0625537033854615</v>
      </c>
    </row>
    <row r="133" spans="1:10" s="1702" customFormat="1" ht="17.100000000000001" customHeight="1">
      <c r="A133" s="1756"/>
      <c r="B133" s="3329"/>
      <c r="C133" s="3496" t="s">
        <v>523</v>
      </c>
      <c r="D133" s="3483" t="s">
        <v>987</v>
      </c>
      <c r="E133" s="3285">
        <v>12726</v>
      </c>
      <c r="F133" s="3285">
        <v>6363</v>
      </c>
      <c r="G133" s="2686">
        <v>12726</v>
      </c>
      <c r="H133" s="3184">
        <f t="shared" si="6"/>
        <v>2</v>
      </c>
    </row>
    <row r="134" spans="1:10" s="1702" customFormat="1" ht="17.100000000000001" customHeight="1">
      <c r="A134" s="1756"/>
      <c r="B134" s="3329"/>
      <c r="C134" s="3496" t="s">
        <v>522</v>
      </c>
      <c r="D134" s="3483" t="s">
        <v>987</v>
      </c>
      <c r="E134" s="3285">
        <v>7274</v>
      </c>
      <c r="F134" s="3285">
        <v>3637</v>
      </c>
      <c r="G134" s="2686">
        <v>7274</v>
      </c>
      <c r="H134" s="3184">
        <f t="shared" si="6"/>
        <v>2</v>
      </c>
    </row>
    <row r="135" spans="1:10" s="1702" customFormat="1" ht="52.5" hidden="1" customHeight="1">
      <c r="A135" s="1756"/>
      <c r="B135" s="3329"/>
      <c r="C135" s="3496" t="s">
        <v>488</v>
      </c>
      <c r="D135" s="2130" t="s">
        <v>1137</v>
      </c>
      <c r="E135" s="3285"/>
      <c r="F135" s="3285">
        <v>10</v>
      </c>
      <c r="G135" s="2686">
        <v>0</v>
      </c>
      <c r="H135" s="3184">
        <f t="shared" si="6"/>
        <v>0</v>
      </c>
    </row>
    <row r="136" spans="1:10" s="1702" customFormat="1" ht="17.25" customHeight="1">
      <c r="A136" s="1756"/>
      <c r="B136" s="3329"/>
      <c r="C136" s="3496" t="s">
        <v>519</v>
      </c>
      <c r="D136" s="3483" t="s">
        <v>981</v>
      </c>
      <c r="E136" s="3285">
        <v>21634</v>
      </c>
      <c r="F136" s="3285">
        <v>16544</v>
      </c>
      <c r="G136" s="2686">
        <v>21634</v>
      </c>
      <c r="H136" s="3184">
        <f t="shared" si="6"/>
        <v>1.307664410058027</v>
      </c>
    </row>
    <row r="137" spans="1:10" s="1702" customFormat="1" ht="19.5" customHeight="1">
      <c r="A137" s="1756"/>
      <c r="B137" s="3329"/>
      <c r="C137" s="3496" t="s">
        <v>485</v>
      </c>
      <c r="D137" s="3483" t="s">
        <v>981</v>
      </c>
      <c r="E137" s="3285">
        <v>12366</v>
      </c>
      <c r="F137" s="3285">
        <v>9456</v>
      </c>
      <c r="G137" s="2686">
        <v>12366</v>
      </c>
      <c r="H137" s="3184">
        <f t="shared" si="6"/>
        <v>1.3077411167512691</v>
      </c>
    </row>
    <row r="138" spans="1:10" s="1702" customFormat="1" ht="19.5" customHeight="1">
      <c r="A138" s="1756"/>
      <c r="B138" s="3329"/>
      <c r="C138" s="3496" t="s">
        <v>476</v>
      </c>
      <c r="D138" s="3483" t="s">
        <v>1011</v>
      </c>
      <c r="E138" s="3285">
        <v>20998</v>
      </c>
      <c r="F138" s="3285">
        <v>20998</v>
      </c>
      <c r="G138" s="2686">
        <v>25452</v>
      </c>
      <c r="H138" s="3184">
        <f t="shared" si="6"/>
        <v>1.212115439565673</v>
      </c>
    </row>
    <row r="139" spans="1:10" s="1702" customFormat="1" ht="19.5" customHeight="1" thickBot="1">
      <c r="A139" s="1831"/>
      <c r="B139" s="3326"/>
      <c r="C139" s="3205" t="s">
        <v>453</v>
      </c>
      <c r="D139" s="3306" t="s">
        <v>1011</v>
      </c>
      <c r="E139" s="2636">
        <v>12002</v>
      </c>
      <c r="F139" s="2636">
        <v>11937</v>
      </c>
      <c r="G139" s="1738">
        <v>14548</v>
      </c>
      <c r="H139" s="2617">
        <f t="shared" si="6"/>
        <v>1.2187316746251151</v>
      </c>
    </row>
    <row r="140" spans="1:10" s="1702" customFormat="1" ht="17.100000000000001" customHeight="1" thickBot="1">
      <c r="A140" s="1756"/>
      <c r="B140" s="2112" t="s">
        <v>40</v>
      </c>
      <c r="C140" s="2111"/>
      <c r="D140" s="3560" t="s">
        <v>41</v>
      </c>
      <c r="E140" s="2109">
        <f>SUM(E141,E151)</f>
        <v>12500000</v>
      </c>
      <c r="F140" s="2109">
        <f>SUM(F141,F151)</f>
        <v>20678132</v>
      </c>
      <c r="G140" s="2108">
        <f>SUM(G141,G151)</f>
        <v>12000000</v>
      </c>
      <c r="H140" s="2107">
        <f t="shared" ref="H140:H145" si="7">G140/F140</f>
        <v>0.58032321294786204</v>
      </c>
    </row>
    <row r="141" spans="1:10" s="1702" customFormat="1" ht="17.100000000000001" customHeight="1">
      <c r="A141" s="1756"/>
      <c r="B141" s="2480"/>
      <c r="C141" s="4599" t="s">
        <v>944</v>
      </c>
      <c r="D141" s="4599"/>
      <c r="E141" s="2538">
        <f>SUM(E142,E147)</f>
        <v>4595000</v>
      </c>
      <c r="F141" s="2538">
        <f>SUM(F142,F147)</f>
        <v>4843132</v>
      </c>
      <c r="G141" s="1761">
        <f>SUM(G142,G147)</f>
        <v>4255000</v>
      </c>
      <c r="H141" s="2809">
        <f t="shared" si="7"/>
        <v>0.87856370629584324</v>
      </c>
      <c r="J141" s="1702" t="s">
        <v>1355</v>
      </c>
    </row>
    <row r="142" spans="1:10" s="1702" customFormat="1" ht="17.100000000000001" customHeight="1">
      <c r="A142" s="1756"/>
      <c r="B142" s="2480"/>
      <c r="C142" s="4622" t="s">
        <v>967</v>
      </c>
      <c r="D142" s="4622"/>
      <c r="E142" s="3285">
        <f>SUM(E143)</f>
        <v>380000</v>
      </c>
      <c r="F142" s="3285">
        <f>SUM(F143)</f>
        <v>420000</v>
      </c>
      <c r="G142" s="2686">
        <f>SUM(G143)</f>
        <v>140000</v>
      </c>
      <c r="H142" s="3184">
        <f t="shared" si="7"/>
        <v>0.33333333333333331</v>
      </c>
    </row>
    <row r="143" spans="1:10" s="1702" customFormat="1" ht="17.100000000000001" customHeight="1">
      <c r="A143" s="1756"/>
      <c r="B143" s="2480"/>
      <c r="C143" s="4623" t="s">
        <v>961</v>
      </c>
      <c r="D143" s="4623"/>
      <c r="E143" s="3286">
        <f>SUM(E144:E145)</f>
        <v>380000</v>
      </c>
      <c r="F143" s="3286">
        <f>SUM(F144:F145)</f>
        <v>420000</v>
      </c>
      <c r="G143" s="2715">
        <f>SUM(G144:G145)</f>
        <v>140000</v>
      </c>
      <c r="H143" s="3206">
        <f t="shared" si="7"/>
        <v>0.33333333333333331</v>
      </c>
    </row>
    <row r="144" spans="1:10" s="1702" customFormat="1" ht="17.100000000000001" customHeight="1">
      <c r="A144" s="1756"/>
      <c r="B144" s="2480"/>
      <c r="C144" s="3496" t="s">
        <v>613</v>
      </c>
      <c r="D144" s="3495" t="s">
        <v>960</v>
      </c>
      <c r="E144" s="3285">
        <v>350000</v>
      </c>
      <c r="F144" s="3285">
        <v>390000</v>
      </c>
      <c r="G144" s="2686">
        <v>110000</v>
      </c>
      <c r="H144" s="3184">
        <f t="shared" si="7"/>
        <v>0.28205128205128205</v>
      </c>
    </row>
    <row r="145" spans="1:8" s="1702" customFormat="1" ht="17.100000000000001" customHeight="1">
      <c r="A145" s="1756"/>
      <c r="B145" s="2480"/>
      <c r="C145" s="3224" t="s">
        <v>959</v>
      </c>
      <c r="D145" s="3223" t="s">
        <v>958</v>
      </c>
      <c r="E145" s="3285">
        <v>30000</v>
      </c>
      <c r="F145" s="3285">
        <v>30000</v>
      </c>
      <c r="G145" s="2686">
        <v>30000</v>
      </c>
      <c r="H145" s="3184">
        <f t="shared" si="7"/>
        <v>1</v>
      </c>
    </row>
    <row r="146" spans="1:8" s="1702" customFormat="1" ht="17.100000000000001" customHeight="1">
      <c r="A146" s="1831"/>
      <c r="B146" s="2480"/>
      <c r="C146" s="4647"/>
      <c r="D146" s="4648"/>
      <c r="E146" s="2765"/>
      <c r="F146" s="2500"/>
      <c r="G146" s="1802"/>
      <c r="H146" s="3470"/>
    </row>
    <row r="147" spans="1:8" s="1702" customFormat="1" ht="17.100000000000001" customHeight="1">
      <c r="A147" s="1756"/>
      <c r="B147" s="2480"/>
      <c r="C147" s="4622" t="s">
        <v>943</v>
      </c>
      <c r="D147" s="4622"/>
      <c r="E147" s="3285">
        <f>SUM(E148:E149)</f>
        <v>4215000</v>
      </c>
      <c r="F147" s="3285">
        <f>SUM(F148:F149)</f>
        <v>4423132</v>
      </c>
      <c r="G147" s="2686">
        <f>SUM(G148:G149)</f>
        <v>4115000</v>
      </c>
      <c r="H147" s="3184">
        <f>G147/F147</f>
        <v>0.9303362413782813</v>
      </c>
    </row>
    <row r="148" spans="1:8" s="1702" customFormat="1" ht="40.5" customHeight="1">
      <c r="A148" s="1756"/>
      <c r="B148" s="2480"/>
      <c r="C148" s="3496" t="s">
        <v>1400</v>
      </c>
      <c r="D148" s="3495" t="s">
        <v>1399</v>
      </c>
      <c r="E148" s="3285">
        <v>4140000</v>
      </c>
      <c r="F148" s="3285">
        <v>4386632</v>
      </c>
      <c r="G148" s="2686">
        <v>4065000</v>
      </c>
      <c r="H148" s="3184">
        <f>G148/F148</f>
        <v>0.92667905582232568</v>
      </c>
    </row>
    <row r="149" spans="1:8" s="1702" customFormat="1" ht="42.75" customHeight="1">
      <c r="A149" s="1756"/>
      <c r="B149" s="2480"/>
      <c r="C149" s="3496" t="s">
        <v>381</v>
      </c>
      <c r="D149" s="3495" t="s">
        <v>1398</v>
      </c>
      <c r="E149" s="3285">
        <v>75000</v>
      </c>
      <c r="F149" s="3285">
        <v>36500</v>
      </c>
      <c r="G149" s="2686">
        <v>50000</v>
      </c>
      <c r="H149" s="3184">
        <f>G149/F149</f>
        <v>1.3698630136986301</v>
      </c>
    </row>
    <row r="150" spans="1:8" s="1702" customFormat="1" ht="17.100000000000001" customHeight="1">
      <c r="A150" s="1756"/>
      <c r="B150" s="4084"/>
      <c r="C150" s="4649"/>
      <c r="D150" s="4650"/>
      <c r="E150" s="2765"/>
      <c r="F150" s="3285"/>
      <c r="G150" s="2686"/>
      <c r="H150" s="3184"/>
    </row>
    <row r="151" spans="1:8" s="1702" customFormat="1" ht="17.100000000000001" customHeight="1">
      <c r="A151" s="1756"/>
      <c r="B151" s="4084"/>
      <c r="C151" s="4651" t="s">
        <v>941</v>
      </c>
      <c r="D151" s="4651"/>
      <c r="E151" s="3287">
        <f>SUM(E152)</f>
        <v>7905000</v>
      </c>
      <c r="F151" s="3287">
        <f>SUM(F152)</f>
        <v>15835000</v>
      </c>
      <c r="G151" s="2781">
        <f>SUM(G152)</f>
        <v>7745000</v>
      </c>
      <c r="H151" s="3216">
        <f t="shared" ref="H151:H168" si="8">G151/F151</f>
        <v>0.48910640985159459</v>
      </c>
    </row>
    <row r="152" spans="1:8" s="1702" customFormat="1" ht="17.100000000000001" customHeight="1">
      <c r="A152" s="1756"/>
      <c r="B152" s="4084"/>
      <c r="C152" s="4627" t="s">
        <v>940</v>
      </c>
      <c r="D152" s="4627"/>
      <c r="E152" s="3285">
        <f>SUM(E153:E155)</f>
        <v>7905000</v>
      </c>
      <c r="F152" s="3285">
        <f>SUM(F153:F155)</f>
        <v>15835000</v>
      </c>
      <c r="G152" s="2686">
        <f>SUM(G153:G155)</f>
        <v>7745000</v>
      </c>
      <c r="H152" s="3184">
        <f t="shared" si="8"/>
        <v>0.48910640985159459</v>
      </c>
    </row>
    <row r="153" spans="1:8" s="1702" customFormat="1" ht="17.100000000000001" customHeight="1">
      <c r="A153" s="1756"/>
      <c r="B153" s="4084"/>
      <c r="C153" s="3496" t="s">
        <v>553</v>
      </c>
      <c r="D153" s="3495" t="s">
        <v>1072</v>
      </c>
      <c r="E153" s="3285">
        <v>170000</v>
      </c>
      <c r="F153" s="3285">
        <v>170000</v>
      </c>
      <c r="G153" s="2686">
        <v>420000</v>
      </c>
      <c r="H153" s="3184">
        <f t="shared" si="8"/>
        <v>2.4705882352941178</v>
      </c>
    </row>
    <row r="154" spans="1:8" s="1702" customFormat="1" ht="45" customHeight="1">
      <c r="A154" s="1756"/>
      <c r="B154" s="4084"/>
      <c r="C154" s="3496" t="s">
        <v>1393</v>
      </c>
      <c r="D154" s="3495" t="s">
        <v>1412</v>
      </c>
      <c r="E154" s="3285">
        <v>7660000</v>
      </c>
      <c r="F154" s="3285">
        <v>15590000</v>
      </c>
      <c r="G154" s="2686">
        <v>7305000</v>
      </c>
      <c r="H154" s="3184">
        <f t="shared" si="8"/>
        <v>0.46856959589480435</v>
      </c>
    </row>
    <row r="155" spans="1:8" s="1702" customFormat="1" ht="42.75" customHeight="1" thickBot="1">
      <c r="A155" s="1831"/>
      <c r="B155" s="4179"/>
      <c r="C155" s="3205" t="s">
        <v>1391</v>
      </c>
      <c r="D155" s="3204" t="s">
        <v>1390</v>
      </c>
      <c r="E155" s="2636">
        <v>75000</v>
      </c>
      <c r="F155" s="3285">
        <v>75000</v>
      </c>
      <c r="G155" s="2686">
        <v>20000</v>
      </c>
      <c r="H155" s="3184">
        <f t="shared" si="8"/>
        <v>0.26666666666666666</v>
      </c>
    </row>
    <row r="156" spans="1:8" ht="16.5" hidden="1" customHeight="1">
      <c r="A156" s="1836"/>
      <c r="B156" s="2462" t="s">
        <v>1411</v>
      </c>
      <c r="C156" s="2461"/>
      <c r="D156" s="3559" t="s">
        <v>1149</v>
      </c>
      <c r="E156" s="2459">
        <v>0</v>
      </c>
      <c r="F156" s="3404"/>
      <c r="G156" s="2681"/>
      <c r="H156" s="3117" t="e">
        <f t="shared" si="8"/>
        <v>#DIV/0!</v>
      </c>
    </row>
    <row r="157" spans="1:8" ht="15.75" hidden="1" customHeight="1" thickBot="1">
      <c r="A157" s="1836"/>
      <c r="B157" s="2003"/>
      <c r="C157" s="4654" t="s">
        <v>941</v>
      </c>
      <c r="D157" s="4654"/>
      <c r="E157" s="3486">
        <v>0</v>
      </c>
      <c r="F157" s="3404"/>
      <c r="G157" s="2681"/>
      <c r="H157" s="3117" t="e">
        <f t="shared" si="8"/>
        <v>#DIV/0!</v>
      </c>
    </row>
    <row r="158" spans="1:8" ht="16.5" hidden="1" customHeight="1" thickBot="1">
      <c r="A158" s="1836"/>
      <c r="B158" s="2003"/>
      <c r="C158" s="4655" t="s">
        <v>940</v>
      </c>
      <c r="D158" s="4655"/>
      <c r="E158" s="3404">
        <v>0</v>
      </c>
      <c r="F158" s="3404"/>
      <c r="G158" s="2681"/>
      <c r="H158" s="3117" t="e">
        <f t="shared" si="8"/>
        <v>#DIV/0!</v>
      </c>
    </row>
    <row r="159" spans="1:8" ht="51.75" hidden="1" thickBot="1">
      <c r="A159" s="1836"/>
      <c r="B159" s="2003"/>
      <c r="C159" s="3558" t="s">
        <v>1410</v>
      </c>
      <c r="D159" s="3557" t="s">
        <v>1409</v>
      </c>
      <c r="E159" s="2812">
        <v>0</v>
      </c>
      <c r="F159" s="3404"/>
      <c r="G159" s="2681"/>
      <c r="H159" s="3148" t="e">
        <f t="shared" si="8"/>
        <v>#DIV/0!</v>
      </c>
    </row>
    <row r="160" spans="1:8" s="1702" customFormat="1" ht="17.100000000000001" customHeight="1" thickBot="1">
      <c r="A160" s="1756"/>
      <c r="B160" s="1768" t="s">
        <v>49</v>
      </c>
      <c r="C160" s="1839"/>
      <c r="D160" s="1838" t="s">
        <v>50</v>
      </c>
      <c r="E160" s="1818">
        <f>SUM(E161)</f>
        <v>9581317</v>
      </c>
      <c r="F160" s="1818">
        <f>SUM(F161)</f>
        <v>8721812</v>
      </c>
      <c r="G160" s="1817">
        <f>SUM(G161)</f>
        <v>10240856</v>
      </c>
      <c r="H160" s="1763">
        <f t="shared" si="8"/>
        <v>1.1741661021815191</v>
      </c>
    </row>
    <row r="161" spans="1:10" s="1702" customFormat="1" ht="17.100000000000001" customHeight="1">
      <c r="A161" s="1756"/>
      <c r="B161" s="1755"/>
      <c r="C161" s="4599" t="s">
        <v>944</v>
      </c>
      <c r="D161" s="4599"/>
      <c r="E161" s="2538">
        <f>SUM(E162,E181)</f>
        <v>9581317</v>
      </c>
      <c r="F161" s="2538">
        <f>SUM(F162,F181)</f>
        <v>8721812</v>
      </c>
      <c r="G161" s="1761">
        <f>SUM(G162,G181)</f>
        <v>10240856</v>
      </c>
      <c r="H161" s="2809">
        <f t="shared" si="8"/>
        <v>1.1741661021815191</v>
      </c>
    </row>
    <row r="162" spans="1:10" s="1702" customFormat="1" ht="17.100000000000001" customHeight="1">
      <c r="A162" s="1756"/>
      <c r="B162" s="1755"/>
      <c r="C162" s="4622" t="s">
        <v>967</v>
      </c>
      <c r="D162" s="4622"/>
      <c r="E162" s="3285">
        <f>SUM(E163,E170)</f>
        <v>6209817</v>
      </c>
      <c r="F162" s="3285">
        <f>SUM(F163,F170)</f>
        <v>5234509</v>
      </c>
      <c r="G162" s="2686">
        <f>SUM(G163,G170)</f>
        <v>6869356</v>
      </c>
      <c r="H162" s="3184">
        <f t="shared" si="8"/>
        <v>1.3123209836872951</v>
      </c>
    </row>
    <row r="163" spans="1:10" s="1702" customFormat="1" ht="17.100000000000001" customHeight="1">
      <c r="A163" s="1756"/>
      <c r="B163" s="1755"/>
      <c r="C163" s="4656" t="s">
        <v>966</v>
      </c>
      <c r="D163" s="4657"/>
      <c r="E163" s="3286">
        <f>SUM(E164:E168)</f>
        <v>1400826</v>
      </c>
      <c r="F163" s="3286">
        <f>SUM(F164:F168)</f>
        <v>1400826</v>
      </c>
      <c r="G163" s="2715">
        <f>SUM(G164:G168)</f>
        <v>1844067</v>
      </c>
      <c r="H163" s="3206">
        <f t="shared" si="8"/>
        <v>1.3164140300080096</v>
      </c>
      <c r="J163" s="1702" t="s">
        <v>1064</v>
      </c>
    </row>
    <row r="164" spans="1:10" s="1702" customFormat="1" ht="17.100000000000001" customHeight="1" thickBot="1">
      <c r="A164" s="1743"/>
      <c r="B164" s="2077"/>
      <c r="C164" s="3233" t="s">
        <v>1016</v>
      </c>
      <c r="D164" s="3556" t="s">
        <v>1015</v>
      </c>
      <c r="E164" s="2636">
        <v>1093947</v>
      </c>
      <c r="F164" s="2636">
        <v>1093947</v>
      </c>
      <c r="G164" s="1738">
        <v>1449560</v>
      </c>
      <c r="H164" s="3184">
        <f t="shared" si="8"/>
        <v>1.325073335362682</v>
      </c>
    </row>
    <row r="165" spans="1:10" s="1702" customFormat="1" ht="17.100000000000001" customHeight="1">
      <c r="A165" s="1886"/>
      <c r="B165" s="2143"/>
      <c r="C165" s="3231" t="s">
        <v>1014</v>
      </c>
      <c r="D165" s="2793" t="s">
        <v>1013</v>
      </c>
      <c r="E165" s="3230">
        <v>73884</v>
      </c>
      <c r="F165" s="3230">
        <v>73884</v>
      </c>
      <c r="G165" s="2141">
        <v>94536</v>
      </c>
      <c r="H165" s="3184">
        <f t="shared" si="8"/>
        <v>1.279519246386227</v>
      </c>
    </row>
    <row r="166" spans="1:10" s="1702" customFormat="1" ht="17.100000000000001" customHeight="1">
      <c r="A166" s="1756"/>
      <c r="B166" s="1755"/>
      <c r="C166" s="3555" t="s">
        <v>965</v>
      </c>
      <c r="D166" s="3554" t="s">
        <v>964</v>
      </c>
      <c r="E166" s="3285">
        <v>202142</v>
      </c>
      <c r="F166" s="3285">
        <v>202142</v>
      </c>
      <c r="G166" s="2686">
        <v>254624</v>
      </c>
      <c r="H166" s="3184">
        <f t="shared" si="8"/>
        <v>1.2596293694531566</v>
      </c>
    </row>
    <row r="167" spans="1:10" s="1702" customFormat="1" ht="16.5" customHeight="1">
      <c r="A167" s="1756"/>
      <c r="B167" s="1755"/>
      <c r="C167" s="3507" t="s">
        <v>963</v>
      </c>
      <c r="D167" s="3553" t="s">
        <v>962</v>
      </c>
      <c r="E167" s="3285">
        <v>28853</v>
      </c>
      <c r="F167" s="3285">
        <v>28853</v>
      </c>
      <c r="G167" s="2686">
        <v>40955</v>
      </c>
      <c r="H167" s="3184">
        <f t="shared" si="8"/>
        <v>1.4194364537483104</v>
      </c>
    </row>
    <row r="168" spans="1:10" s="1702" customFormat="1" ht="16.5" customHeight="1">
      <c r="A168" s="1756"/>
      <c r="B168" s="1755"/>
      <c r="C168" s="3507" t="s">
        <v>1012</v>
      </c>
      <c r="D168" s="3553" t="s">
        <v>1011</v>
      </c>
      <c r="E168" s="3285">
        <v>2000</v>
      </c>
      <c r="F168" s="3285">
        <v>2000</v>
      </c>
      <c r="G168" s="2686">
        <v>4392</v>
      </c>
      <c r="H168" s="3184">
        <f t="shared" si="8"/>
        <v>2.1960000000000002</v>
      </c>
    </row>
    <row r="169" spans="1:10" s="1702" customFormat="1" ht="17.100000000000001" customHeight="1">
      <c r="A169" s="1831"/>
      <c r="B169" s="1755"/>
      <c r="C169" s="4658"/>
      <c r="D169" s="4659"/>
      <c r="E169" s="3285"/>
      <c r="F169" s="3285"/>
      <c r="G169" s="2686"/>
      <c r="H169" s="3184"/>
    </row>
    <row r="170" spans="1:10" s="1702" customFormat="1" ht="17.100000000000001" customHeight="1">
      <c r="A170" s="1756"/>
      <c r="B170" s="1755"/>
      <c r="C170" s="4652" t="s">
        <v>961</v>
      </c>
      <c r="D170" s="4652"/>
      <c r="E170" s="2771">
        <f>SUM(E172:E179)</f>
        <v>4808991</v>
      </c>
      <c r="F170" s="2771">
        <f>SUM(F172:F179)</f>
        <v>3833683</v>
      </c>
      <c r="G170" s="1808">
        <f>SUM(G172:G179)</f>
        <v>5025289</v>
      </c>
      <c r="H170" s="3552">
        <f t="shared" ref="H170:H179" si="9">G170/F170</f>
        <v>1.3108253864495316</v>
      </c>
      <c r="J170" s="1702" t="s">
        <v>1355</v>
      </c>
    </row>
    <row r="171" spans="1:10" s="1702" customFormat="1" ht="17.100000000000001" hidden="1" customHeight="1">
      <c r="A171" s="1756"/>
      <c r="B171" s="1755"/>
      <c r="C171" s="3551" t="s">
        <v>1048</v>
      </c>
      <c r="D171" s="3550" t="s">
        <v>1047</v>
      </c>
      <c r="E171" s="3285">
        <v>0</v>
      </c>
      <c r="F171" s="3285"/>
      <c r="G171" s="2686"/>
      <c r="H171" s="3184" t="e">
        <f t="shared" si="9"/>
        <v>#DIV/0!</v>
      </c>
    </row>
    <row r="172" spans="1:10" s="1702" customFormat="1" ht="17.100000000000001" customHeight="1">
      <c r="A172" s="1756"/>
      <c r="B172" s="1755"/>
      <c r="C172" s="3496" t="s">
        <v>1010</v>
      </c>
      <c r="D172" s="3550" t="s">
        <v>1009</v>
      </c>
      <c r="E172" s="3285">
        <v>16500</v>
      </c>
      <c r="F172" s="3285">
        <v>18281</v>
      </c>
      <c r="G172" s="2686">
        <v>34000</v>
      </c>
      <c r="H172" s="3184">
        <f t="shared" si="9"/>
        <v>1.8598544937366666</v>
      </c>
    </row>
    <row r="173" spans="1:10" s="1702" customFormat="1" ht="17.100000000000001" customHeight="1" thickBot="1">
      <c r="A173" s="1831"/>
      <c r="B173" s="1755"/>
      <c r="C173" s="3224" t="s">
        <v>613</v>
      </c>
      <c r="D173" s="3549" t="s">
        <v>960</v>
      </c>
      <c r="E173" s="3285">
        <v>46000</v>
      </c>
      <c r="F173" s="3285">
        <v>116000</v>
      </c>
      <c r="G173" s="2686">
        <v>77000</v>
      </c>
      <c r="H173" s="2617">
        <f t="shared" si="9"/>
        <v>0.66379310344827591</v>
      </c>
    </row>
    <row r="174" spans="1:10" s="1702" customFormat="1" ht="17.100000000000001" customHeight="1">
      <c r="A174" s="1756"/>
      <c r="B174" s="1831"/>
      <c r="C174" s="3543" t="s">
        <v>959</v>
      </c>
      <c r="D174" s="3544" t="s">
        <v>958</v>
      </c>
      <c r="E174" s="3451">
        <v>1266491</v>
      </c>
      <c r="F174" s="3451">
        <v>219402</v>
      </c>
      <c r="G174" s="1802">
        <f>209185+1225104</f>
        <v>1434289</v>
      </c>
      <c r="H174" s="2099">
        <f t="shared" si="9"/>
        <v>6.5372649292166889</v>
      </c>
      <c r="J174" s="1702" t="s">
        <v>1406</v>
      </c>
    </row>
    <row r="175" spans="1:10" s="1702" customFormat="1" ht="17.100000000000001" customHeight="1">
      <c r="A175" s="1756"/>
      <c r="B175" s="1831"/>
      <c r="C175" s="3496" t="s">
        <v>996</v>
      </c>
      <c r="D175" s="3495" t="s">
        <v>995</v>
      </c>
      <c r="E175" s="3285">
        <v>208000</v>
      </c>
      <c r="F175" s="3285">
        <v>208000</v>
      </c>
      <c r="G175" s="2686">
        <v>208000</v>
      </c>
      <c r="H175" s="3184">
        <f t="shared" si="9"/>
        <v>1</v>
      </c>
    </row>
    <row r="176" spans="1:10" s="1702" customFormat="1" ht="17.100000000000001" hidden="1" customHeight="1">
      <c r="A176" s="1756"/>
      <c r="B176" s="1831"/>
      <c r="C176" s="3496" t="s">
        <v>986</v>
      </c>
      <c r="D176" s="3495" t="s">
        <v>985</v>
      </c>
      <c r="E176" s="3285">
        <v>0</v>
      </c>
      <c r="F176" s="3285"/>
      <c r="G176" s="2686"/>
      <c r="H176" s="3184" t="e">
        <f t="shared" si="9"/>
        <v>#DIV/0!</v>
      </c>
    </row>
    <row r="177" spans="1:10" s="1702" customFormat="1" ht="51" hidden="1" customHeight="1">
      <c r="A177" s="1756"/>
      <c r="B177" s="1831"/>
      <c r="C177" s="3496" t="s">
        <v>1046</v>
      </c>
      <c r="D177" s="3495" t="s">
        <v>1045</v>
      </c>
      <c r="E177" s="3285">
        <v>0</v>
      </c>
      <c r="F177" s="3285"/>
      <c r="G177" s="2686"/>
      <c r="H177" s="3184" t="e">
        <f t="shared" si="9"/>
        <v>#DIV/0!</v>
      </c>
    </row>
    <row r="178" spans="1:10" s="1702" customFormat="1" ht="17.100000000000001" customHeight="1">
      <c r="A178" s="1756"/>
      <c r="B178" s="1831"/>
      <c r="C178" s="3496" t="s">
        <v>1367</v>
      </c>
      <c r="D178" s="3495" t="s">
        <v>1366</v>
      </c>
      <c r="E178" s="3285">
        <v>3267000</v>
      </c>
      <c r="F178" s="3285">
        <v>3267000</v>
      </c>
      <c r="G178" s="2686">
        <v>3267000</v>
      </c>
      <c r="H178" s="3184">
        <f t="shared" si="9"/>
        <v>1</v>
      </c>
    </row>
    <row r="179" spans="1:10" s="1702" customFormat="1" ht="17.100000000000001" customHeight="1">
      <c r="A179" s="1756"/>
      <c r="B179" s="1831"/>
      <c r="C179" s="3496" t="s">
        <v>1122</v>
      </c>
      <c r="D179" s="3495" t="s">
        <v>1118</v>
      </c>
      <c r="E179" s="3285">
        <v>5000</v>
      </c>
      <c r="F179" s="3285">
        <v>5000</v>
      </c>
      <c r="G179" s="2686">
        <v>5000</v>
      </c>
      <c r="H179" s="3184">
        <f t="shared" si="9"/>
        <v>1</v>
      </c>
    </row>
    <row r="180" spans="1:10" s="1702" customFormat="1" ht="17.100000000000001" customHeight="1">
      <c r="A180" s="1756"/>
      <c r="B180" s="1831"/>
      <c r="C180" s="3302"/>
      <c r="D180" s="3548"/>
      <c r="E180" s="3302"/>
      <c r="F180" s="3285"/>
      <c r="G180" s="2686"/>
      <c r="H180" s="3184"/>
    </row>
    <row r="181" spans="1:10" s="1702" customFormat="1" ht="17.100000000000001" customHeight="1">
      <c r="A181" s="1831"/>
      <c r="B181" s="1831"/>
      <c r="C181" s="4653" t="s">
        <v>943</v>
      </c>
      <c r="D181" s="4653"/>
      <c r="E181" s="2500">
        <f>SUM(E182)</f>
        <v>3371500</v>
      </c>
      <c r="F181" s="2500">
        <f>SUM(F182)</f>
        <v>3487303</v>
      </c>
      <c r="G181" s="1802">
        <f>SUM(G182)</f>
        <v>3371500</v>
      </c>
      <c r="H181" s="3470">
        <f t="shared" ref="H181:H224" si="10">G181/F181</f>
        <v>0.96679296292865857</v>
      </c>
    </row>
    <row r="182" spans="1:10" s="1702" customFormat="1" ht="53.25" customHeight="1" thickBot="1">
      <c r="A182" s="1743"/>
      <c r="B182" s="1847"/>
      <c r="C182" s="3205" t="s">
        <v>112</v>
      </c>
      <c r="D182" s="3204" t="s">
        <v>956</v>
      </c>
      <c r="E182" s="2636">
        <v>3371500</v>
      </c>
      <c r="F182" s="2636">
        <v>3487303</v>
      </c>
      <c r="G182" s="1738">
        <v>3371500</v>
      </c>
      <c r="H182" s="2617">
        <f t="shared" si="10"/>
        <v>0.96679296292865857</v>
      </c>
      <c r="J182" s="1702" t="s">
        <v>1355</v>
      </c>
    </row>
    <row r="183" spans="1:10" s="1702" customFormat="1" ht="53.25" hidden="1" customHeight="1" thickBot="1">
      <c r="A183" s="1756"/>
      <c r="B183" s="1831"/>
      <c r="C183" s="3260" t="s">
        <v>47</v>
      </c>
      <c r="D183" s="3547" t="s">
        <v>79</v>
      </c>
      <c r="E183" s="2500">
        <v>0</v>
      </c>
      <c r="F183" s="2500"/>
      <c r="G183" s="1802"/>
      <c r="H183" s="1731" t="e">
        <f t="shared" si="10"/>
        <v>#DIV/0!</v>
      </c>
    </row>
    <row r="184" spans="1:10" s="1702" customFormat="1" ht="17.100000000000001" customHeight="1" thickBot="1">
      <c r="A184" s="1844" t="s">
        <v>55</v>
      </c>
      <c r="B184" s="1843"/>
      <c r="C184" s="1842"/>
      <c r="D184" s="1841" t="s">
        <v>1408</v>
      </c>
      <c r="E184" s="1737">
        <f t="shared" ref="E184:G186" si="11">SUM(E185)</f>
        <v>500000</v>
      </c>
      <c r="F184" s="1737">
        <f t="shared" si="11"/>
        <v>500015</v>
      </c>
      <c r="G184" s="1736">
        <f t="shared" si="11"/>
        <v>400000</v>
      </c>
      <c r="H184" s="1735">
        <f t="shared" si="10"/>
        <v>0.79997600071997843</v>
      </c>
    </row>
    <row r="185" spans="1:10" s="1702" customFormat="1" ht="42.75" customHeight="1" thickBot="1">
      <c r="A185" s="1886"/>
      <c r="B185" s="1768" t="s">
        <v>57</v>
      </c>
      <c r="C185" s="1839"/>
      <c r="D185" s="1838" t="s">
        <v>1407</v>
      </c>
      <c r="E185" s="1818">
        <f t="shared" si="11"/>
        <v>500000</v>
      </c>
      <c r="F185" s="1818">
        <f t="shared" si="11"/>
        <v>500015</v>
      </c>
      <c r="G185" s="1817">
        <f t="shared" si="11"/>
        <v>400000</v>
      </c>
      <c r="H185" s="1763">
        <f t="shared" si="10"/>
        <v>0.79997600071997843</v>
      </c>
    </row>
    <row r="186" spans="1:10" s="1702" customFormat="1" ht="17.100000000000001" customHeight="1">
      <c r="A186" s="1756"/>
      <c r="B186" s="4187"/>
      <c r="C186" s="4599" t="s">
        <v>944</v>
      </c>
      <c r="D186" s="4599"/>
      <c r="E186" s="2538">
        <f t="shared" si="11"/>
        <v>500000</v>
      </c>
      <c r="F186" s="2538">
        <f t="shared" si="11"/>
        <v>500015</v>
      </c>
      <c r="G186" s="1761">
        <f t="shared" si="11"/>
        <v>400000</v>
      </c>
      <c r="H186" s="2809">
        <f t="shared" si="10"/>
        <v>0.79997600071997843</v>
      </c>
      <c r="J186" s="1702" t="s">
        <v>1406</v>
      </c>
    </row>
    <row r="187" spans="1:10" s="1702" customFormat="1" ht="17.100000000000001" customHeight="1">
      <c r="A187" s="1756"/>
      <c r="B187" s="4084"/>
      <c r="C187" s="4622" t="s">
        <v>976</v>
      </c>
      <c r="D187" s="4622"/>
      <c r="E187" s="3285">
        <f>SUM(E188:E216)</f>
        <v>500000</v>
      </c>
      <c r="F187" s="3285">
        <f>SUM(F188:F216)</f>
        <v>500015</v>
      </c>
      <c r="G187" s="2686">
        <f>SUM(G188:G216)</f>
        <v>400000</v>
      </c>
      <c r="H187" s="3184">
        <f t="shared" si="10"/>
        <v>0.79997600071997843</v>
      </c>
    </row>
    <row r="188" spans="1:10" s="1702" customFormat="1" ht="56.25" hidden="1" customHeight="1">
      <c r="A188" s="1756"/>
      <c r="B188" s="4084"/>
      <c r="C188" s="3546" t="s">
        <v>364</v>
      </c>
      <c r="D188" s="3545" t="s">
        <v>1116</v>
      </c>
      <c r="E188" s="3285">
        <v>0</v>
      </c>
      <c r="F188" s="3285">
        <v>10</v>
      </c>
      <c r="G188" s="2686">
        <v>0</v>
      </c>
      <c r="H188" s="3184">
        <f t="shared" si="10"/>
        <v>0</v>
      </c>
    </row>
    <row r="189" spans="1:10" s="1702" customFormat="1" ht="56.25" hidden="1" customHeight="1">
      <c r="A189" s="1756"/>
      <c r="B189" s="4084"/>
      <c r="C189" s="3546" t="s">
        <v>300</v>
      </c>
      <c r="D189" s="3545" t="s">
        <v>1116</v>
      </c>
      <c r="E189" s="3285">
        <v>0</v>
      </c>
      <c r="F189" s="3285">
        <v>4</v>
      </c>
      <c r="G189" s="2686">
        <v>0</v>
      </c>
      <c r="H189" s="3184">
        <f t="shared" si="10"/>
        <v>0</v>
      </c>
    </row>
    <row r="190" spans="1:10" s="1702" customFormat="1" ht="17.100000000000001" customHeight="1">
      <c r="A190" s="1756"/>
      <c r="B190" s="4084"/>
      <c r="C190" s="3543" t="s">
        <v>479</v>
      </c>
      <c r="D190" s="3495" t="s">
        <v>1015</v>
      </c>
      <c r="E190" s="3285">
        <v>265500</v>
      </c>
      <c r="F190" s="3285">
        <v>265500</v>
      </c>
      <c r="G190" s="2686">
        <v>157500</v>
      </c>
      <c r="H190" s="3184">
        <f t="shared" si="10"/>
        <v>0.59322033898305082</v>
      </c>
    </row>
    <row r="191" spans="1:10" s="1702" customFormat="1" ht="17.100000000000001" customHeight="1">
      <c r="A191" s="1756"/>
      <c r="B191" s="1831"/>
      <c r="C191" s="3496" t="s">
        <v>461</v>
      </c>
      <c r="D191" s="3495" t="s">
        <v>1015</v>
      </c>
      <c r="E191" s="3285">
        <v>88500</v>
      </c>
      <c r="F191" s="3285">
        <v>88500</v>
      </c>
      <c r="G191" s="2686">
        <v>52500</v>
      </c>
      <c r="H191" s="3184">
        <f t="shared" si="10"/>
        <v>0.59322033898305082</v>
      </c>
    </row>
    <row r="192" spans="1:10" s="1702" customFormat="1" ht="17.100000000000001" customHeight="1">
      <c r="A192" s="1756"/>
      <c r="B192" s="1831"/>
      <c r="C192" s="3496" t="s">
        <v>536</v>
      </c>
      <c r="D192" s="3495" t="s">
        <v>1013</v>
      </c>
      <c r="E192" s="3285">
        <v>19500</v>
      </c>
      <c r="F192" s="3285">
        <v>19500</v>
      </c>
      <c r="G192" s="2686">
        <v>26250</v>
      </c>
      <c r="H192" s="3184">
        <f t="shared" si="10"/>
        <v>1.3461538461538463</v>
      </c>
    </row>
    <row r="193" spans="1:8" s="1702" customFormat="1" ht="17.100000000000001" customHeight="1">
      <c r="A193" s="1756"/>
      <c r="B193" s="1831"/>
      <c r="C193" s="3496" t="s">
        <v>493</v>
      </c>
      <c r="D193" s="3495" t="s">
        <v>1013</v>
      </c>
      <c r="E193" s="3285">
        <v>6500</v>
      </c>
      <c r="F193" s="3285">
        <v>6500</v>
      </c>
      <c r="G193" s="2686">
        <v>8750</v>
      </c>
      <c r="H193" s="3184">
        <f t="shared" si="10"/>
        <v>1.3461538461538463</v>
      </c>
    </row>
    <row r="194" spans="1:8" s="1702" customFormat="1" ht="17.100000000000001" customHeight="1">
      <c r="A194" s="1756"/>
      <c r="B194" s="1831"/>
      <c r="C194" s="3496" t="s">
        <v>478</v>
      </c>
      <c r="D194" s="3495" t="s">
        <v>964</v>
      </c>
      <c r="E194" s="3285">
        <v>50250</v>
      </c>
      <c r="F194" s="3285">
        <v>50250</v>
      </c>
      <c r="G194" s="2686">
        <v>33750</v>
      </c>
      <c r="H194" s="3184">
        <f t="shared" si="10"/>
        <v>0.67164179104477617</v>
      </c>
    </row>
    <row r="195" spans="1:8" s="1702" customFormat="1" ht="17.100000000000001" customHeight="1">
      <c r="A195" s="1756"/>
      <c r="B195" s="1831"/>
      <c r="C195" s="3496" t="s">
        <v>459</v>
      </c>
      <c r="D195" s="3495" t="s">
        <v>964</v>
      </c>
      <c r="E195" s="3285">
        <v>16750</v>
      </c>
      <c r="F195" s="3285">
        <v>16750</v>
      </c>
      <c r="G195" s="2686">
        <v>11250</v>
      </c>
      <c r="H195" s="3184">
        <f t="shared" si="10"/>
        <v>0.67164179104477617</v>
      </c>
    </row>
    <row r="196" spans="1:8" s="1702" customFormat="1" ht="16.5" customHeight="1">
      <c r="A196" s="1831"/>
      <c r="B196" s="1831"/>
      <c r="C196" s="3224" t="s">
        <v>477</v>
      </c>
      <c r="D196" s="3223" t="s">
        <v>962</v>
      </c>
      <c r="E196" s="3285">
        <v>7500</v>
      </c>
      <c r="F196" s="3285">
        <v>7500</v>
      </c>
      <c r="G196" s="2686">
        <v>6000</v>
      </c>
      <c r="H196" s="3184">
        <f t="shared" si="10"/>
        <v>0.8</v>
      </c>
    </row>
    <row r="197" spans="1:8" s="1702" customFormat="1" ht="16.5" customHeight="1">
      <c r="A197" s="1756"/>
      <c r="B197" s="1831"/>
      <c r="C197" s="3543" t="s">
        <v>457</v>
      </c>
      <c r="D197" s="3544" t="s">
        <v>962</v>
      </c>
      <c r="E197" s="2500">
        <v>2500</v>
      </c>
      <c r="F197" s="2500">
        <v>2500</v>
      </c>
      <c r="G197" s="1802">
        <v>2000</v>
      </c>
      <c r="H197" s="3470">
        <f t="shared" si="10"/>
        <v>0.8</v>
      </c>
    </row>
    <row r="198" spans="1:8" s="1702" customFormat="1" ht="17.100000000000001" hidden="1" customHeight="1">
      <c r="A198" s="1756"/>
      <c r="B198" s="1831"/>
      <c r="C198" s="3496" t="s">
        <v>535</v>
      </c>
      <c r="D198" s="3495" t="s">
        <v>973</v>
      </c>
      <c r="E198" s="3285">
        <v>0</v>
      </c>
      <c r="F198" s="3285"/>
      <c r="G198" s="2686"/>
      <c r="H198" s="3184" t="e">
        <f t="shared" si="10"/>
        <v>#DIV/0!</v>
      </c>
    </row>
    <row r="199" spans="1:8" s="1702" customFormat="1" ht="17.100000000000001" hidden="1" customHeight="1">
      <c r="A199" s="1756"/>
      <c r="B199" s="1831"/>
      <c r="C199" s="3496" t="s">
        <v>455</v>
      </c>
      <c r="D199" s="3495" t="s">
        <v>973</v>
      </c>
      <c r="E199" s="3285">
        <v>0</v>
      </c>
      <c r="F199" s="3285"/>
      <c r="G199" s="2686"/>
      <c r="H199" s="3184" t="e">
        <f t="shared" si="10"/>
        <v>#DIV/0!</v>
      </c>
    </row>
    <row r="200" spans="1:8" s="1702" customFormat="1" ht="17.100000000000001" customHeight="1">
      <c r="A200" s="1756"/>
      <c r="B200" s="1831"/>
      <c r="C200" s="3496" t="s">
        <v>533</v>
      </c>
      <c r="D200" s="3495" t="s">
        <v>960</v>
      </c>
      <c r="E200" s="3285">
        <v>15000</v>
      </c>
      <c r="F200" s="3285">
        <v>15000</v>
      </c>
      <c r="G200" s="2686">
        <v>54750</v>
      </c>
      <c r="H200" s="3184">
        <f t="shared" si="10"/>
        <v>3.65</v>
      </c>
    </row>
    <row r="201" spans="1:8" s="1702" customFormat="1" ht="17.100000000000001" customHeight="1">
      <c r="A201" s="1756"/>
      <c r="B201" s="1831"/>
      <c r="C201" s="3496" t="s">
        <v>449</v>
      </c>
      <c r="D201" s="3495" t="s">
        <v>960</v>
      </c>
      <c r="E201" s="3285">
        <v>5000</v>
      </c>
      <c r="F201" s="3285">
        <v>5000</v>
      </c>
      <c r="G201" s="2686">
        <v>18250</v>
      </c>
      <c r="H201" s="3184">
        <f t="shared" si="10"/>
        <v>3.65</v>
      </c>
    </row>
    <row r="202" spans="1:8" s="1702" customFormat="1" ht="17.100000000000001" customHeight="1">
      <c r="A202" s="1756"/>
      <c r="B202" s="1831"/>
      <c r="C202" s="3496" t="s">
        <v>531</v>
      </c>
      <c r="D202" s="3495" t="s">
        <v>1001</v>
      </c>
      <c r="E202" s="3285">
        <v>2250</v>
      </c>
      <c r="F202" s="3285">
        <v>2250</v>
      </c>
      <c r="G202" s="2686">
        <v>2250</v>
      </c>
      <c r="H202" s="3184">
        <f t="shared" si="10"/>
        <v>1</v>
      </c>
    </row>
    <row r="203" spans="1:8" s="1702" customFormat="1" ht="17.100000000000001" customHeight="1">
      <c r="A203" s="1756"/>
      <c r="B203" s="1831"/>
      <c r="C203" s="3496" t="s">
        <v>513</v>
      </c>
      <c r="D203" s="3495" t="s">
        <v>1001</v>
      </c>
      <c r="E203" s="3285">
        <v>750</v>
      </c>
      <c r="F203" s="3285">
        <v>750</v>
      </c>
      <c r="G203" s="2686">
        <v>750</v>
      </c>
      <c r="H203" s="3184">
        <f t="shared" si="10"/>
        <v>1</v>
      </c>
    </row>
    <row r="204" spans="1:8" s="1702" customFormat="1" ht="17.100000000000001" customHeight="1">
      <c r="A204" s="1756"/>
      <c r="B204" s="1831"/>
      <c r="C204" s="3496" t="s">
        <v>529</v>
      </c>
      <c r="D204" s="3495" t="s">
        <v>958</v>
      </c>
      <c r="E204" s="3285">
        <v>7500</v>
      </c>
      <c r="F204" s="3285">
        <v>7500</v>
      </c>
      <c r="G204" s="2686">
        <v>13500</v>
      </c>
      <c r="H204" s="3184">
        <f t="shared" si="10"/>
        <v>1.8</v>
      </c>
    </row>
    <row r="205" spans="1:8" s="1702" customFormat="1" ht="15.75" customHeight="1">
      <c r="A205" s="1756"/>
      <c r="B205" s="1831"/>
      <c r="C205" s="3496" t="s">
        <v>445</v>
      </c>
      <c r="D205" s="3495" t="s">
        <v>958</v>
      </c>
      <c r="E205" s="3285">
        <v>2500</v>
      </c>
      <c r="F205" s="3285">
        <v>2500</v>
      </c>
      <c r="G205" s="2686">
        <v>4500</v>
      </c>
      <c r="H205" s="3184">
        <f t="shared" si="10"/>
        <v>1.8</v>
      </c>
    </row>
    <row r="206" spans="1:8" s="1702" customFormat="1" ht="15.75" hidden="1" customHeight="1">
      <c r="A206" s="1756"/>
      <c r="B206" s="1831"/>
      <c r="C206" s="3496" t="s">
        <v>591</v>
      </c>
      <c r="D206" s="3495" t="s">
        <v>1405</v>
      </c>
      <c r="E206" s="3285">
        <v>0</v>
      </c>
      <c r="F206" s="3285"/>
      <c r="G206" s="2686"/>
      <c r="H206" s="3184" t="e">
        <f t="shared" si="10"/>
        <v>#DIV/0!</v>
      </c>
    </row>
    <row r="207" spans="1:8" s="1702" customFormat="1" ht="16.5" hidden="1" customHeight="1">
      <c r="A207" s="1756"/>
      <c r="B207" s="1831"/>
      <c r="C207" s="3496" t="s">
        <v>491</v>
      </c>
      <c r="D207" s="3495" t="s">
        <v>1405</v>
      </c>
      <c r="E207" s="3285">
        <v>0</v>
      </c>
      <c r="F207" s="3285"/>
      <c r="G207" s="2686"/>
      <c r="H207" s="3184" t="e">
        <f t="shared" si="10"/>
        <v>#DIV/0!</v>
      </c>
    </row>
    <row r="208" spans="1:8" s="1702" customFormat="1" ht="17.100000000000001" customHeight="1">
      <c r="A208" s="1756"/>
      <c r="B208" s="1831"/>
      <c r="C208" s="3496" t="s">
        <v>524</v>
      </c>
      <c r="D208" s="3495" t="s">
        <v>991</v>
      </c>
      <c r="E208" s="3285">
        <v>1500</v>
      </c>
      <c r="F208" s="3285">
        <v>1500</v>
      </c>
      <c r="G208" s="2686">
        <v>1500</v>
      </c>
      <c r="H208" s="3184">
        <f t="shared" si="10"/>
        <v>1</v>
      </c>
    </row>
    <row r="209" spans="1:10" s="1702" customFormat="1" ht="17.100000000000001" customHeight="1">
      <c r="A209" s="1756"/>
      <c r="B209" s="1831"/>
      <c r="C209" s="3496" t="s">
        <v>466</v>
      </c>
      <c r="D209" s="3495" t="s">
        <v>991</v>
      </c>
      <c r="E209" s="3285">
        <v>500</v>
      </c>
      <c r="F209" s="3285">
        <v>500</v>
      </c>
      <c r="G209" s="2686">
        <v>500</v>
      </c>
      <c r="H209" s="3184">
        <f t="shared" si="10"/>
        <v>1</v>
      </c>
    </row>
    <row r="210" spans="1:10" s="1702" customFormat="1" ht="15" customHeight="1">
      <c r="A210" s="1756"/>
      <c r="B210" s="1831"/>
      <c r="C210" s="3496" t="s">
        <v>523</v>
      </c>
      <c r="D210" s="3495" t="s">
        <v>987</v>
      </c>
      <c r="E210" s="3285">
        <v>750</v>
      </c>
      <c r="F210" s="3285">
        <v>750</v>
      </c>
      <c r="G210" s="2686">
        <v>750</v>
      </c>
      <c r="H210" s="3184">
        <f t="shared" si="10"/>
        <v>1</v>
      </c>
    </row>
    <row r="211" spans="1:10" s="1702" customFormat="1" ht="15" customHeight="1">
      <c r="A211" s="1831"/>
      <c r="B211" s="1831"/>
      <c r="C211" s="3224" t="s">
        <v>522</v>
      </c>
      <c r="D211" s="3223" t="s">
        <v>987</v>
      </c>
      <c r="E211" s="3285">
        <v>250</v>
      </c>
      <c r="F211" s="3285">
        <v>250</v>
      </c>
      <c r="G211" s="2686">
        <v>250</v>
      </c>
      <c r="H211" s="3184">
        <f t="shared" si="10"/>
        <v>1</v>
      </c>
    </row>
    <row r="212" spans="1:10" s="1702" customFormat="1" ht="54" hidden="1" customHeight="1">
      <c r="A212" s="1756"/>
      <c r="B212" s="1831"/>
      <c r="C212" s="3543" t="s">
        <v>488</v>
      </c>
      <c r="D212" s="2130" t="s">
        <v>1137</v>
      </c>
      <c r="E212" s="2500">
        <v>0</v>
      </c>
      <c r="F212" s="2500">
        <v>1</v>
      </c>
      <c r="G212" s="1802">
        <v>0</v>
      </c>
      <c r="H212" s="3470">
        <f t="shared" si="10"/>
        <v>0</v>
      </c>
    </row>
    <row r="213" spans="1:10" s="1702" customFormat="1" ht="16.5" customHeight="1">
      <c r="A213" s="1756"/>
      <c r="B213" s="1831"/>
      <c r="C213" s="3496" t="s">
        <v>519</v>
      </c>
      <c r="D213" s="3495" t="s">
        <v>981</v>
      </c>
      <c r="E213" s="3285">
        <v>3000</v>
      </c>
      <c r="F213" s="3285">
        <v>3000</v>
      </c>
      <c r="G213" s="2686">
        <v>2250</v>
      </c>
      <c r="H213" s="3184">
        <f t="shared" si="10"/>
        <v>0.75</v>
      </c>
    </row>
    <row r="214" spans="1:10" s="1702" customFormat="1" ht="18.75" customHeight="1">
      <c r="A214" s="1756"/>
      <c r="B214" s="1831"/>
      <c r="C214" s="3496" t="s">
        <v>485</v>
      </c>
      <c r="D214" s="3495" t="s">
        <v>981</v>
      </c>
      <c r="E214" s="3285">
        <v>1000</v>
      </c>
      <c r="F214" s="3285">
        <v>1000</v>
      </c>
      <c r="G214" s="2686">
        <v>750</v>
      </c>
      <c r="H214" s="3184">
        <f t="shared" si="10"/>
        <v>0.75</v>
      </c>
    </row>
    <row r="215" spans="1:10" s="1702" customFormat="1" ht="18.75" customHeight="1">
      <c r="A215" s="1756"/>
      <c r="B215" s="1831"/>
      <c r="C215" s="3496" t="s">
        <v>476</v>
      </c>
      <c r="D215" s="3542" t="s">
        <v>1011</v>
      </c>
      <c r="E215" s="3285">
        <v>2250</v>
      </c>
      <c r="F215" s="3285">
        <v>2250</v>
      </c>
      <c r="G215" s="2686">
        <v>1500</v>
      </c>
      <c r="H215" s="3184">
        <f t="shared" si="10"/>
        <v>0.66666666666666663</v>
      </c>
    </row>
    <row r="216" spans="1:10" s="1702" customFormat="1" ht="18.75" customHeight="1" thickBot="1">
      <c r="A216" s="1743"/>
      <c r="B216" s="1847"/>
      <c r="C216" s="3205" t="s">
        <v>453</v>
      </c>
      <c r="D216" s="3204" t="s">
        <v>1011</v>
      </c>
      <c r="E216" s="2636">
        <v>750</v>
      </c>
      <c r="F216" s="2636">
        <v>750</v>
      </c>
      <c r="G216" s="1738">
        <v>500</v>
      </c>
      <c r="H216" s="2617">
        <f t="shared" si="10"/>
        <v>0.66666666666666663</v>
      </c>
    </row>
    <row r="217" spans="1:10" s="1906" customFormat="1" ht="17.100000000000001" customHeight="1" thickBot="1">
      <c r="A217" s="2074" t="s">
        <v>66</v>
      </c>
      <c r="B217" s="2944"/>
      <c r="C217" s="2589"/>
      <c r="D217" s="2588" t="s">
        <v>1404</v>
      </c>
      <c r="E217" s="2070">
        <f>SUM(E218)</f>
        <v>16811984</v>
      </c>
      <c r="F217" s="2070">
        <f>SUM(F218)</f>
        <v>12014389</v>
      </c>
      <c r="G217" s="2069">
        <f>SUM(G218)</f>
        <v>4188107</v>
      </c>
      <c r="H217" s="2068">
        <f t="shared" si="10"/>
        <v>0.34859092709583483</v>
      </c>
      <c r="J217" s="1702"/>
    </row>
    <row r="218" spans="1:10" s="1906" customFormat="1" ht="17.100000000000001" customHeight="1" thickBot="1">
      <c r="A218" s="1954"/>
      <c r="B218" s="1971" t="s">
        <v>68</v>
      </c>
      <c r="C218" s="1970"/>
      <c r="D218" s="1969" t="s">
        <v>69</v>
      </c>
      <c r="E218" s="1968">
        <f>SUM(E219,E241)</f>
        <v>16811984</v>
      </c>
      <c r="F218" s="1968">
        <f>SUM(F219,F241)</f>
        <v>12014389</v>
      </c>
      <c r="G218" s="1967">
        <f>SUM(G219,G241)</f>
        <v>4188107</v>
      </c>
      <c r="H218" s="1966">
        <f t="shared" si="10"/>
        <v>0.34859092709583483</v>
      </c>
      <c r="J218" s="1702"/>
    </row>
    <row r="219" spans="1:10" s="1906" customFormat="1" ht="17.100000000000001" customHeight="1">
      <c r="A219" s="1923"/>
      <c r="B219" s="2022"/>
      <c r="C219" s="4621" t="s">
        <v>944</v>
      </c>
      <c r="D219" s="4621"/>
      <c r="E219" s="2509">
        <f>SUM(E220,E226)</f>
        <v>16811984</v>
      </c>
      <c r="F219" s="2509">
        <f>SUM(F220,F226)</f>
        <v>11950949</v>
      </c>
      <c r="G219" s="1964">
        <f>SUM(G220,G226)</f>
        <v>4188107</v>
      </c>
      <c r="H219" s="3448">
        <f t="shared" si="10"/>
        <v>0.3504413749903878</v>
      </c>
      <c r="J219" s="1702"/>
    </row>
    <row r="220" spans="1:10" s="1906" customFormat="1" ht="17.100000000000001" customHeight="1">
      <c r="A220" s="1923"/>
      <c r="B220" s="2014"/>
      <c r="C220" s="4637" t="s">
        <v>943</v>
      </c>
      <c r="D220" s="4638"/>
      <c r="E220" s="3356">
        <f>SUM(E221:E224)</f>
        <v>2985463</v>
      </c>
      <c r="F220" s="3356">
        <f>SUM(F221:F224)</f>
        <v>2782564</v>
      </c>
      <c r="G220" s="2870">
        <f>SUM(G221:G224)</f>
        <v>107641</v>
      </c>
      <c r="H220" s="3111">
        <f t="shared" si="10"/>
        <v>3.8684105738448424E-2</v>
      </c>
      <c r="J220" s="1702"/>
    </row>
    <row r="221" spans="1:10" s="1906" customFormat="1" ht="63.75">
      <c r="A221" s="1923"/>
      <c r="B221" s="2014"/>
      <c r="C221" s="3541" t="s">
        <v>359</v>
      </c>
      <c r="D221" s="3536" t="s">
        <v>1117</v>
      </c>
      <c r="E221" s="3539">
        <v>2985463</v>
      </c>
      <c r="F221" s="3356">
        <v>2766624</v>
      </c>
      <c r="G221" s="2870">
        <v>107641</v>
      </c>
      <c r="H221" s="3111">
        <f t="shared" si="10"/>
        <v>3.8906985553512151E-2</v>
      </c>
      <c r="J221" s="1702" t="s">
        <v>1025</v>
      </c>
    </row>
    <row r="222" spans="1:10" s="1906" customFormat="1" ht="51" hidden="1" customHeight="1">
      <c r="A222" s="1923"/>
      <c r="B222" s="2014"/>
      <c r="C222" s="3540" t="s">
        <v>185</v>
      </c>
      <c r="D222" s="3536" t="s">
        <v>1095</v>
      </c>
      <c r="E222" s="3539">
        <v>0</v>
      </c>
      <c r="F222" s="3356"/>
      <c r="G222" s="2870"/>
      <c r="H222" s="3111" t="e">
        <f t="shared" si="10"/>
        <v>#DIV/0!</v>
      </c>
      <c r="J222" s="1702"/>
    </row>
    <row r="223" spans="1:10" s="1906" customFormat="1" ht="51" hidden="1">
      <c r="A223" s="1923"/>
      <c r="B223" s="2014"/>
      <c r="C223" s="3098" t="s">
        <v>300</v>
      </c>
      <c r="D223" s="3538" t="s">
        <v>1116</v>
      </c>
      <c r="E223" s="3532" t="s">
        <v>1403</v>
      </c>
      <c r="F223" s="3356">
        <v>4269</v>
      </c>
      <c r="G223" s="2870">
        <v>0</v>
      </c>
      <c r="H223" s="3111">
        <f t="shared" si="10"/>
        <v>0</v>
      </c>
      <c r="J223" s="1702"/>
    </row>
    <row r="224" spans="1:10" s="1906" customFormat="1" ht="17.100000000000001" hidden="1" customHeight="1">
      <c r="A224" s="1923"/>
      <c r="B224" s="2014"/>
      <c r="C224" s="3537" t="s">
        <v>301</v>
      </c>
      <c r="D224" s="3536" t="s">
        <v>1115</v>
      </c>
      <c r="E224" s="3535" t="s">
        <v>1403</v>
      </c>
      <c r="F224" s="3356">
        <v>11671</v>
      </c>
      <c r="G224" s="2870"/>
      <c r="H224" s="3111">
        <f t="shared" si="10"/>
        <v>0</v>
      </c>
      <c r="J224" s="1702"/>
    </row>
    <row r="225" spans="1:10" s="1906" customFormat="1" ht="17.100000000000001" customHeight="1">
      <c r="A225" s="1922"/>
      <c r="B225" s="2014"/>
      <c r="C225" s="3534"/>
      <c r="D225" s="3533"/>
      <c r="E225" s="3532"/>
      <c r="F225" s="3356"/>
      <c r="G225" s="2870"/>
      <c r="H225" s="3111"/>
      <c r="J225" s="1702"/>
    </row>
    <row r="226" spans="1:10" s="1906" customFormat="1" ht="17.100000000000001" customHeight="1">
      <c r="A226" s="1923"/>
      <c r="B226" s="2014"/>
      <c r="C226" s="4639" t="s">
        <v>976</v>
      </c>
      <c r="D226" s="4639"/>
      <c r="E226" s="3530">
        <f>SUM(E227:E235)</f>
        <v>13826521</v>
      </c>
      <c r="F226" s="3530">
        <f>SUM(F227:F235)</f>
        <v>9168385</v>
      </c>
      <c r="G226" s="3531">
        <f>SUM(G227:G235)</f>
        <v>4080466</v>
      </c>
      <c r="H226" s="3446">
        <f t="shared" ref="H226:H239" si="12">G226/F226</f>
        <v>0.44505831724998457</v>
      </c>
      <c r="J226" s="1702"/>
    </row>
    <row r="227" spans="1:10" s="1906" customFormat="1" ht="63.75" customHeight="1" thickBot="1">
      <c r="A227" s="1913"/>
      <c r="B227" s="2379"/>
      <c r="C227" s="3166" t="s">
        <v>196</v>
      </c>
      <c r="D227" s="3165" t="s">
        <v>1117</v>
      </c>
      <c r="E227" s="3522">
        <v>13231704</v>
      </c>
      <c r="F227" s="2857">
        <v>8800000</v>
      </c>
      <c r="G227" s="1915">
        <v>4080466</v>
      </c>
      <c r="H227" s="3111">
        <f t="shared" si="12"/>
        <v>0.46368931818181819</v>
      </c>
      <c r="J227" s="1702" t="s">
        <v>1121</v>
      </c>
    </row>
    <row r="228" spans="1:10" s="1906" customFormat="1" ht="52.5" hidden="1" customHeight="1">
      <c r="A228" s="1923"/>
      <c r="B228" s="2014"/>
      <c r="C228" s="1974" t="s">
        <v>157</v>
      </c>
      <c r="D228" s="1973" t="s">
        <v>79</v>
      </c>
      <c r="E228" s="3530">
        <v>0</v>
      </c>
      <c r="F228" s="3447"/>
      <c r="G228" s="1929"/>
      <c r="H228" s="3111" t="e">
        <f t="shared" si="12"/>
        <v>#DIV/0!</v>
      </c>
      <c r="J228" s="1702"/>
    </row>
    <row r="229" spans="1:10" s="1906" customFormat="1" ht="16.5" hidden="1" customHeight="1">
      <c r="A229" s="1923"/>
      <c r="B229" s="2014"/>
      <c r="C229" s="3529" t="s">
        <v>346</v>
      </c>
      <c r="D229" s="3528" t="s">
        <v>1115</v>
      </c>
      <c r="E229" s="3523">
        <v>0</v>
      </c>
      <c r="F229" s="3356"/>
      <c r="G229" s="2870"/>
      <c r="H229" s="3111" t="e">
        <f t="shared" si="12"/>
        <v>#DIV/0!</v>
      </c>
      <c r="J229" s="1702"/>
    </row>
    <row r="230" spans="1:10" s="1906" customFormat="1" ht="17.100000000000001" hidden="1" customHeight="1">
      <c r="A230" s="1923"/>
      <c r="B230" s="2014"/>
      <c r="C230" s="3527" t="s">
        <v>462</v>
      </c>
      <c r="D230" s="3526" t="s">
        <v>1015</v>
      </c>
      <c r="E230" s="3523">
        <v>0</v>
      </c>
      <c r="F230" s="3356"/>
      <c r="G230" s="2870"/>
      <c r="H230" s="3111" t="e">
        <f t="shared" si="12"/>
        <v>#DIV/0!</v>
      </c>
      <c r="J230" s="1702"/>
    </row>
    <row r="231" spans="1:10" s="1906" customFormat="1" ht="17.100000000000001" hidden="1" customHeight="1">
      <c r="A231" s="1923"/>
      <c r="B231" s="2014"/>
      <c r="C231" s="3527" t="s">
        <v>494</v>
      </c>
      <c r="D231" s="3526" t="s">
        <v>1013</v>
      </c>
      <c r="E231" s="3523">
        <v>0</v>
      </c>
      <c r="F231" s="3356"/>
      <c r="G231" s="2870"/>
      <c r="H231" s="3111" t="e">
        <f t="shared" si="12"/>
        <v>#DIV/0!</v>
      </c>
      <c r="J231" s="1702"/>
    </row>
    <row r="232" spans="1:10" s="1906" customFormat="1" ht="17.100000000000001" hidden="1" customHeight="1">
      <c r="A232" s="1923"/>
      <c r="B232" s="2014"/>
      <c r="C232" s="3525" t="s">
        <v>460</v>
      </c>
      <c r="D232" s="3526" t="s">
        <v>964</v>
      </c>
      <c r="E232" s="3523">
        <v>0</v>
      </c>
      <c r="F232" s="3356"/>
      <c r="G232" s="2870"/>
      <c r="H232" s="3111" t="e">
        <f t="shared" si="12"/>
        <v>#DIV/0!</v>
      </c>
      <c r="J232" s="1702"/>
    </row>
    <row r="233" spans="1:10" s="1906" customFormat="1" ht="26.25" hidden="1" customHeight="1">
      <c r="A233" s="1923"/>
      <c r="B233" s="2014"/>
      <c r="C233" s="3525" t="s">
        <v>458</v>
      </c>
      <c r="D233" s="3518" t="s">
        <v>1062</v>
      </c>
      <c r="E233" s="3523">
        <v>0</v>
      </c>
      <c r="F233" s="3356"/>
      <c r="G233" s="2870"/>
      <c r="H233" s="3111" t="e">
        <f t="shared" si="12"/>
        <v>#DIV/0!</v>
      </c>
      <c r="J233" s="1702"/>
    </row>
    <row r="234" spans="1:10" s="1906" customFormat="1" ht="17.100000000000001" hidden="1" customHeight="1">
      <c r="A234" s="1923"/>
      <c r="B234" s="2014"/>
      <c r="C234" s="3525" t="s">
        <v>450</v>
      </c>
      <c r="D234" s="3518" t="s">
        <v>960</v>
      </c>
      <c r="E234" s="3523">
        <v>0</v>
      </c>
      <c r="F234" s="3356"/>
      <c r="G234" s="2870"/>
      <c r="H234" s="3111" t="e">
        <f t="shared" si="12"/>
        <v>#DIV/0!</v>
      </c>
      <c r="J234" s="1702"/>
    </row>
    <row r="235" spans="1:10" s="1906" customFormat="1" ht="17.25" hidden="1" customHeight="1">
      <c r="A235" s="1923"/>
      <c r="B235" s="2014"/>
      <c r="C235" s="3525" t="s">
        <v>446</v>
      </c>
      <c r="D235" s="3518" t="s">
        <v>958</v>
      </c>
      <c r="E235" s="3523">
        <v>594817</v>
      </c>
      <c r="F235" s="3356">
        <v>368385</v>
      </c>
      <c r="G235" s="2870"/>
      <c r="H235" s="3111">
        <f t="shared" si="12"/>
        <v>0</v>
      </c>
      <c r="J235" s="1702"/>
    </row>
    <row r="236" spans="1:10" s="1906" customFormat="1" ht="17.100000000000001" hidden="1" customHeight="1">
      <c r="A236" s="1923"/>
      <c r="B236" s="1981"/>
      <c r="C236" s="3525" t="s">
        <v>492</v>
      </c>
      <c r="D236" s="3518" t="s">
        <v>995</v>
      </c>
      <c r="E236" s="3523">
        <v>0</v>
      </c>
      <c r="F236" s="3356"/>
      <c r="G236" s="2870"/>
      <c r="H236" s="3111" t="e">
        <f t="shared" si="12"/>
        <v>#DIV/0!</v>
      </c>
      <c r="J236" s="1702"/>
    </row>
    <row r="237" spans="1:10" s="1906" customFormat="1" ht="17.100000000000001" hidden="1" customHeight="1">
      <c r="A237" s="1923"/>
      <c r="B237" s="1981"/>
      <c r="C237" s="3525" t="s">
        <v>467</v>
      </c>
      <c r="D237" s="3518" t="s">
        <v>991</v>
      </c>
      <c r="E237" s="3523">
        <v>0</v>
      </c>
      <c r="F237" s="3356"/>
      <c r="G237" s="2870"/>
      <c r="H237" s="3111" t="e">
        <f t="shared" si="12"/>
        <v>#DIV/0!</v>
      </c>
      <c r="J237" s="1702"/>
    </row>
    <row r="238" spans="1:10" s="1906" customFormat="1" ht="17.100000000000001" hidden="1" customHeight="1">
      <c r="A238" s="1923"/>
      <c r="B238" s="1981"/>
      <c r="C238" s="3525" t="s">
        <v>486</v>
      </c>
      <c r="D238" s="3518" t="s">
        <v>981</v>
      </c>
      <c r="E238" s="3523">
        <v>0</v>
      </c>
      <c r="F238" s="3356"/>
      <c r="G238" s="2870"/>
      <c r="H238" s="3111" t="e">
        <f t="shared" si="12"/>
        <v>#DIV/0!</v>
      </c>
      <c r="J238" s="1702"/>
    </row>
    <row r="239" spans="1:10" s="1906" customFormat="1" ht="17.100000000000001" hidden="1" customHeight="1">
      <c r="A239" s="1923"/>
      <c r="B239" s="1981"/>
      <c r="C239" s="3525" t="s">
        <v>454</v>
      </c>
      <c r="D239" s="3524" t="s">
        <v>1011</v>
      </c>
      <c r="E239" s="3523">
        <v>0</v>
      </c>
      <c r="F239" s="3356"/>
      <c r="G239" s="2870"/>
      <c r="H239" s="3111" t="e">
        <f t="shared" si="12"/>
        <v>#DIV/0!</v>
      </c>
      <c r="J239" s="1702"/>
    </row>
    <row r="240" spans="1:10" s="1906" customFormat="1" ht="12" hidden="1" customHeight="1" thickBot="1">
      <c r="A240" s="1913"/>
      <c r="B240" s="2006"/>
      <c r="C240" s="4640"/>
      <c r="D240" s="4641"/>
      <c r="E240" s="3522"/>
      <c r="F240" s="2857"/>
      <c r="G240" s="1915"/>
      <c r="H240" s="2856"/>
      <c r="J240" s="1702"/>
    </row>
    <row r="241" spans="1:10" s="1906" customFormat="1" ht="17.100000000000001" hidden="1" customHeight="1">
      <c r="A241" s="1954"/>
      <c r="B241" s="2009"/>
      <c r="C241" s="4142" t="s">
        <v>941</v>
      </c>
      <c r="D241" s="4142"/>
      <c r="E241" s="2386">
        <f>SUM(E242)</f>
        <v>0</v>
      </c>
      <c r="F241" s="2386">
        <f>SUM(F242)</f>
        <v>63440</v>
      </c>
      <c r="G241" s="2007">
        <f>SUM(G242)</f>
        <v>0</v>
      </c>
      <c r="H241" s="2051">
        <f t="shared" ref="H241:H247" si="13">G241/F241</f>
        <v>0</v>
      </c>
      <c r="J241" s="1702"/>
    </row>
    <row r="242" spans="1:10" s="1906" customFormat="1" ht="17.100000000000001" hidden="1" customHeight="1">
      <c r="A242" s="1923"/>
      <c r="B242" s="1981"/>
      <c r="C242" s="4642" t="s">
        <v>940</v>
      </c>
      <c r="D242" s="4643"/>
      <c r="E242" s="3356">
        <f>SUM(E247)</f>
        <v>0</v>
      </c>
      <c r="F242" s="3356">
        <f>SUM(F247)</f>
        <v>63440</v>
      </c>
      <c r="G242" s="2870">
        <f>SUM(G247)</f>
        <v>0</v>
      </c>
      <c r="H242" s="3111">
        <f t="shared" si="13"/>
        <v>0</v>
      </c>
      <c r="J242" s="1702"/>
    </row>
    <row r="243" spans="1:10" s="1906" customFormat="1" ht="16.5" hidden="1" customHeight="1">
      <c r="A243" s="1923"/>
      <c r="B243" s="1981"/>
      <c r="C243" s="3521" t="s">
        <v>504</v>
      </c>
      <c r="D243" s="3520" t="s">
        <v>1072</v>
      </c>
      <c r="E243" s="3356">
        <v>0</v>
      </c>
      <c r="F243" s="3356"/>
      <c r="G243" s="2870"/>
      <c r="H243" s="3111" t="e">
        <f t="shared" si="13"/>
        <v>#DIV/0!</v>
      </c>
      <c r="J243" s="1702"/>
    </row>
    <row r="244" spans="1:10" s="1906" customFormat="1" ht="65.25" hidden="1" customHeight="1">
      <c r="A244" s="1923"/>
      <c r="B244" s="1981"/>
      <c r="C244" s="3519" t="s">
        <v>566</v>
      </c>
      <c r="D244" s="3518" t="s">
        <v>1134</v>
      </c>
      <c r="E244" s="3356">
        <v>0</v>
      </c>
      <c r="F244" s="3356"/>
      <c r="G244" s="2870"/>
      <c r="H244" s="3111" t="e">
        <f t="shared" si="13"/>
        <v>#DIV/0!</v>
      </c>
      <c r="J244" s="1702"/>
    </row>
    <row r="245" spans="1:10" s="1906" customFormat="1" ht="63.75" hidden="1" customHeight="1">
      <c r="A245" s="1923"/>
      <c r="B245" s="1981"/>
      <c r="C245" s="3519" t="s">
        <v>540</v>
      </c>
      <c r="D245" s="3518" t="s">
        <v>1134</v>
      </c>
      <c r="E245" s="3356">
        <v>0</v>
      </c>
      <c r="F245" s="3356"/>
      <c r="G245" s="2870"/>
      <c r="H245" s="3111" t="e">
        <f t="shared" si="13"/>
        <v>#DIV/0!</v>
      </c>
      <c r="J245" s="1702"/>
    </row>
    <row r="246" spans="1:10" s="1906" customFormat="1" ht="56.25" hidden="1" customHeight="1">
      <c r="A246" s="1923"/>
      <c r="B246" s="1922"/>
      <c r="C246" s="3517" t="s">
        <v>186</v>
      </c>
      <c r="D246" s="3516" t="s">
        <v>1026</v>
      </c>
      <c r="E246" s="3356">
        <v>0</v>
      </c>
      <c r="F246" s="3356"/>
      <c r="G246" s="2870"/>
      <c r="H246" s="3111" t="e">
        <f t="shared" si="13"/>
        <v>#DIV/0!</v>
      </c>
      <c r="J246" s="1702"/>
    </row>
    <row r="247" spans="1:10" s="1906" customFormat="1" ht="54.75" hidden="1" customHeight="1" thickBot="1">
      <c r="A247" s="1923"/>
      <c r="B247" s="1922"/>
      <c r="C247" s="3517" t="s">
        <v>302</v>
      </c>
      <c r="D247" s="3516" t="s">
        <v>1135</v>
      </c>
      <c r="E247" s="3356">
        <v>0</v>
      </c>
      <c r="F247" s="3356">
        <v>63440</v>
      </c>
      <c r="G247" s="2870">
        <v>0</v>
      </c>
      <c r="H247" s="3111">
        <f t="shared" si="13"/>
        <v>0</v>
      </c>
      <c r="J247" s="1702"/>
    </row>
    <row r="248" spans="1:10" s="1906" customFormat="1" ht="14.25" hidden="1" customHeight="1" thickBot="1">
      <c r="A248" s="1913"/>
      <c r="B248" s="2006"/>
      <c r="C248" s="3515"/>
      <c r="D248" s="3515"/>
      <c r="E248" s="3514"/>
      <c r="F248" s="2857"/>
      <c r="G248" s="1915"/>
      <c r="H248" s="2856"/>
      <c r="J248" s="1702"/>
    </row>
    <row r="249" spans="1:10" ht="17.100000000000001" customHeight="1" thickBot="1">
      <c r="A249" s="1844" t="s">
        <v>794</v>
      </c>
      <c r="B249" s="1843"/>
      <c r="C249" s="1842"/>
      <c r="D249" s="1841" t="s">
        <v>1402</v>
      </c>
      <c r="E249" s="1737">
        <f>SUM(E250,E275,E305,E317,E326,E398,E410,E414,E422,E435)</f>
        <v>765213436</v>
      </c>
      <c r="F249" s="1737">
        <f>SUM(F250,F275,F305,F317,F326,F398,F410,F414,F422,F435)</f>
        <v>863672089</v>
      </c>
      <c r="G249" s="1736">
        <f>SUM(G250,G275,G305,G317,G326,G398,G410,G414,G422,G435)</f>
        <v>1142385627</v>
      </c>
      <c r="H249" s="1735">
        <f t="shared" ref="H249:H257" si="14">G249/F249</f>
        <v>1.3227075895467544</v>
      </c>
      <c r="J249" s="1702" t="s">
        <v>1328</v>
      </c>
    </row>
    <row r="250" spans="1:10" ht="17.100000000000001" customHeight="1" thickBot="1">
      <c r="A250" s="2677"/>
      <c r="B250" s="1768" t="s">
        <v>617</v>
      </c>
      <c r="C250" s="1839"/>
      <c r="D250" s="1838" t="s">
        <v>83</v>
      </c>
      <c r="E250" s="1818">
        <f>SUM(E251,E264)</f>
        <v>105743205</v>
      </c>
      <c r="F250" s="1818">
        <f>SUM(F251,F264)</f>
        <v>115083520</v>
      </c>
      <c r="G250" s="1817">
        <f>SUM(G251,G264)</f>
        <v>495206020</v>
      </c>
      <c r="H250" s="1763">
        <f t="shared" si="14"/>
        <v>4.3030141935178907</v>
      </c>
    </row>
    <row r="251" spans="1:10" ht="17.100000000000001" customHeight="1">
      <c r="A251" s="1836"/>
      <c r="B251" s="3513"/>
      <c r="C251" s="4098" t="s">
        <v>944</v>
      </c>
      <c r="D251" s="4099"/>
      <c r="E251" s="3454">
        <f>SUM(E252,E259)</f>
        <v>102593205</v>
      </c>
      <c r="F251" s="3454">
        <f>SUM(F252,F259)</f>
        <v>111933520</v>
      </c>
      <c r="G251" s="1761">
        <f>SUM(G252,G259)</f>
        <v>151766020</v>
      </c>
      <c r="H251" s="3453">
        <f t="shared" si="14"/>
        <v>1.3558585488958088</v>
      </c>
    </row>
    <row r="252" spans="1:10" ht="17.100000000000001" customHeight="1">
      <c r="A252" s="1836"/>
      <c r="B252" s="3499"/>
      <c r="C252" s="4644" t="s">
        <v>967</v>
      </c>
      <c r="D252" s="4645"/>
      <c r="E252" s="3285">
        <f>SUM(E253)</f>
        <v>13216073</v>
      </c>
      <c r="F252" s="3285">
        <f>SUM(F253)</f>
        <v>13644254</v>
      </c>
      <c r="G252" s="2686">
        <f>SUM(G253)</f>
        <v>14627814</v>
      </c>
      <c r="H252" s="3184">
        <f t="shared" si="14"/>
        <v>1.0720860224384565</v>
      </c>
    </row>
    <row r="253" spans="1:10" ht="17.100000000000001" customHeight="1">
      <c r="A253" s="1836"/>
      <c r="B253" s="3499"/>
      <c r="C253" s="4636" t="s">
        <v>961</v>
      </c>
      <c r="D253" s="4646"/>
      <c r="E253" s="3452">
        <f>SUM(E254:E257)</f>
        <v>13216073</v>
      </c>
      <c r="F253" s="3452">
        <f>SUM(F254:F257)</f>
        <v>13644254</v>
      </c>
      <c r="G253" s="1808">
        <f>SUM(G254:G257)</f>
        <v>14627814</v>
      </c>
      <c r="H253" s="3184">
        <f t="shared" si="14"/>
        <v>1.0720860224384565</v>
      </c>
    </row>
    <row r="254" spans="1:10" ht="17.100000000000001" customHeight="1">
      <c r="A254" s="1836"/>
      <c r="B254" s="3499"/>
      <c r="C254" s="3224" t="s">
        <v>1002</v>
      </c>
      <c r="D254" s="3271" t="s">
        <v>1001</v>
      </c>
      <c r="E254" s="3285">
        <v>13206073</v>
      </c>
      <c r="F254" s="3285">
        <v>13634254</v>
      </c>
      <c r="G254" s="2686">
        <v>14617814</v>
      </c>
      <c r="H254" s="3184">
        <f t="shared" si="14"/>
        <v>1.0721388937011149</v>
      </c>
    </row>
    <row r="255" spans="1:10" ht="17.100000000000001" hidden="1" customHeight="1">
      <c r="A255" s="1836"/>
      <c r="B255" s="3499"/>
      <c r="C255" s="3305" t="s">
        <v>996</v>
      </c>
      <c r="D255" s="3506" t="s">
        <v>995</v>
      </c>
      <c r="E255" s="3285">
        <v>0</v>
      </c>
      <c r="F255" s="3285"/>
      <c r="G255" s="2686"/>
      <c r="H255" s="3184" t="e">
        <f t="shared" si="14"/>
        <v>#DIV/0!</v>
      </c>
    </row>
    <row r="256" spans="1:10" ht="17.100000000000001" hidden="1" customHeight="1">
      <c r="A256" s="1836"/>
      <c r="B256" s="3499"/>
      <c r="C256" s="2696" t="s">
        <v>1239</v>
      </c>
      <c r="D256" s="3512" t="s">
        <v>1238</v>
      </c>
      <c r="E256" s="3285">
        <v>0</v>
      </c>
      <c r="F256" s="3285"/>
      <c r="G256" s="2686"/>
      <c r="H256" s="3184" t="e">
        <f t="shared" si="14"/>
        <v>#DIV/0!</v>
      </c>
    </row>
    <row r="257" spans="1:8" ht="17.100000000000001" customHeight="1">
      <c r="A257" s="1836"/>
      <c r="B257" s="3499"/>
      <c r="C257" s="3511" t="s">
        <v>1122</v>
      </c>
      <c r="D257" s="3510" t="s">
        <v>1118</v>
      </c>
      <c r="E257" s="3285">
        <v>10000</v>
      </c>
      <c r="F257" s="3285">
        <v>10000</v>
      </c>
      <c r="G257" s="2686">
        <v>10000</v>
      </c>
      <c r="H257" s="3184">
        <f t="shared" si="14"/>
        <v>1</v>
      </c>
    </row>
    <row r="258" spans="1:8" ht="12.75" customHeight="1">
      <c r="A258" s="1836"/>
      <c r="B258" s="3499"/>
      <c r="C258" s="3508"/>
      <c r="D258" s="3509"/>
      <c r="E258" s="3508"/>
      <c r="F258" s="3285"/>
      <c r="G258" s="2686"/>
      <c r="H258" s="3184"/>
    </row>
    <row r="259" spans="1:8" ht="17.100000000000001" customHeight="1">
      <c r="A259" s="1836"/>
      <c r="B259" s="3499"/>
      <c r="C259" s="4631" t="s">
        <v>943</v>
      </c>
      <c r="D259" s="4632"/>
      <c r="E259" s="3451">
        <f>SUM(E260:E261)</f>
        <v>89377132</v>
      </c>
      <c r="F259" s="3451">
        <f>SUM(F260:F261)</f>
        <v>98289266</v>
      </c>
      <c r="G259" s="1802">
        <f>SUM(G260:G261)</f>
        <v>137138206</v>
      </c>
      <c r="H259" s="3184">
        <f>G259/F259</f>
        <v>1.3952510948652317</v>
      </c>
    </row>
    <row r="260" spans="1:8" ht="42.75" hidden="1" customHeight="1">
      <c r="A260" s="1836"/>
      <c r="B260" s="3499"/>
      <c r="C260" s="3507" t="s">
        <v>91</v>
      </c>
      <c r="D260" s="3476" t="s">
        <v>955</v>
      </c>
      <c r="E260" s="3285">
        <v>0</v>
      </c>
      <c r="F260" s="3285">
        <v>90000</v>
      </c>
      <c r="G260" s="2686">
        <v>0</v>
      </c>
      <c r="H260" s="3184">
        <f>G260/F260</f>
        <v>0</v>
      </c>
    </row>
    <row r="261" spans="1:8" ht="40.5" customHeight="1">
      <c r="A261" s="1836"/>
      <c r="B261" s="3499"/>
      <c r="C261" s="3498" t="s">
        <v>1300</v>
      </c>
      <c r="D261" s="3506" t="s">
        <v>1401</v>
      </c>
      <c r="E261" s="3285">
        <v>89377132</v>
      </c>
      <c r="F261" s="3285">
        <v>98199266</v>
      </c>
      <c r="G261" s="2686">
        <v>137138206</v>
      </c>
      <c r="H261" s="3184">
        <f>G261/F261</f>
        <v>1.39652984778929</v>
      </c>
    </row>
    <row r="262" spans="1:8" ht="40.5" hidden="1" customHeight="1">
      <c r="A262" s="1836"/>
      <c r="B262" s="3499"/>
      <c r="C262" s="3505" t="s">
        <v>93</v>
      </c>
      <c r="D262" s="3504" t="s">
        <v>1085</v>
      </c>
      <c r="E262" s="3404">
        <v>0</v>
      </c>
      <c r="F262" s="3404"/>
      <c r="G262" s="2681"/>
      <c r="H262" s="3117" t="e">
        <f>G262/F262</f>
        <v>#DIV/0!</v>
      </c>
    </row>
    <row r="263" spans="1:8" ht="12.75" customHeight="1">
      <c r="A263" s="1836"/>
      <c r="B263" s="3499"/>
      <c r="C263" s="3503"/>
      <c r="D263" s="3502"/>
      <c r="E263" s="3404"/>
      <c r="F263" s="3404"/>
      <c r="G263" s="2681"/>
      <c r="H263" s="3117"/>
    </row>
    <row r="264" spans="1:8" ht="17.100000000000001" customHeight="1">
      <c r="A264" s="1836"/>
      <c r="B264" s="3499"/>
      <c r="C264" s="4633" t="s">
        <v>941</v>
      </c>
      <c r="D264" s="4634"/>
      <c r="E264" s="3287">
        <f>SUM(E265)</f>
        <v>3150000</v>
      </c>
      <c r="F264" s="3287">
        <f>SUM(F265)</f>
        <v>3150000</v>
      </c>
      <c r="G264" s="2781">
        <f>SUM(G265)</f>
        <v>343440000</v>
      </c>
      <c r="H264" s="3216">
        <f>G264/F264</f>
        <v>109.02857142857142</v>
      </c>
    </row>
    <row r="265" spans="1:8" ht="17.100000000000001" customHeight="1">
      <c r="A265" s="1836"/>
      <c r="B265" s="3499"/>
      <c r="C265" s="4635" t="s">
        <v>940</v>
      </c>
      <c r="D265" s="4628"/>
      <c r="E265" s="3285">
        <f>SUM(E267)</f>
        <v>3150000</v>
      </c>
      <c r="F265" s="3285">
        <f>SUM(F267:F269)</f>
        <v>3150000</v>
      </c>
      <c r="G265" s="2686">
        <f>SUM(G267:G269)</f>
        <v>343440000</v>
      </c>
      <c r="H265" s="3184">
        <f>G265/F265</f>
        <v>109.02857142857142</v>
      </c>
    </row>
    <row r="266" spans="1:8" ht="17.100000000000001" hidden="1" customHeight="1">
      <c r="A266" s="1836"/>
      <c r="B266" s="3499"/>
      <c r="C266" s="3498" t="s">
        <v>546</v>
      </c>
      <c r="D266" s="3484" t="s">
        <v>1023</v>
      </c>
      <c r="E266" s="3285">
        <v>0</v>
      </c>
      <c r="F266" s="3285"/>
      <c r="G266" s="2686"/>
      <c r="H266" s="3184" t="e">
        <f>G266/F266</f>
        <v>#DIV/0!</v>
      </c>
    </row>
    <row r="267" spans="1:8" ht="17.100000000000001" customHeight="1">
      <c r="A267" s="1836"/>
      <c r="B267" s="3499"/>
      <c r="C267" s="3498" t="s">
        <v>553</v>
      </c>
      <c r="D267" s="3483" t="s">
        <v>1072</v>
      </c>
      <c r="E267" s="3285">
        <v>3150000</v>
      </c>
      <c r="F267" s="3285">
        <v>3150000</v>
      </c>
      <c r="G267" s="2686">
        <v>65440000</v>
      </c>
      <c r="H267" s="3184">
        <f>G267/F267</f>
        <v>20.774603174603175</v>
      </c>
    </row>
    <row r="268" spans="1:8" ht="17.100000000000001" customHeight="1">
      <c r="A268" s="1836"/>
      <c r="B268" s="3499"/>
      <c r="C268" s="3498" t="s">
        <v>504</v>
      </c>
      <c r="D268" s="3483" t="s">
        <v>1072</v>
      </c>
      <c r="E268" s="3285">
        <v>0</v>
      </c>
      <c r="F268" s="3285">
        <v>0</v>
      </c>
      <c r="G268" s="2686">
        <v>236300000</v>
      </c>
      <c r="H268" s="3184"/>
    </row>
    <row r="269" spans="1:8" ht="17.100000000000001" customHeight="1">
      <c r="A269" s="1836"/>
      <c r="B269" s="3499"/>
      <c r="C269" s="3498" t="s">
        <v>569</v>
      </c>
      <c r="D269" s="3483" t="s">
        <v>1072</v>
      </c>
      <c r="E269" s="3285">
        <v>0</v>
      </c>
      <c r="F269" s="3285">
        <v>0</v>
      </c>
      <c r="G269" s="2686">
        <v>41700000</v>
      </c>
      <c r="H269" s="3184"/>
    </row>
    <row r="270" spans="1:8" ht="17.100000000000001" customHeight="1">
      <c r="A270" s="1836"/>
      <c r="B270" s="3499"/>
      <c r="C270" s="2765"/>
      <c r="D270" s="3478"/>
      <c r="E270" s="3501"/>
      <c r="F270" s="3285"/>
      <c r="G270" s="2686"/>
      <c r="H270" s="3184"/>
    </row>
    <row r="271" spans="1:8" ht="16.5" customHeight="1">
      <c r="A271" s="1836"/>
      <c r="B271" s="3499"/>
      <c r="C271" s="4636" t="s">
        <v>1024</v>
      </c>
      <c r="D271" s="4630"/>
      <c r="E271" s="3285">
        <f>SUM(E272)</f>
        <v>150000</v>
      </c>
      <c r="F271" s="3500">
        <f>SUM(F272:F274)</f>
        <v>150000</v>
      </c>
      <c r="G271" s="2686">
        <f>SUM(G272:G274)</f>
        <v>341940000</v>
      </c>
      <c r="H271" s="3184">
        <f>G271/F271</f>
        <v>2279.6</v>
      </c>
    </row>
    <row r="272" spans="1:8" ht="16.5" customHeight="1">
      <c r="A272" s="1822"/>
      <c r="B272" s="3499"/>
      <c r="C272" s="3224" t="s">
        <v>553</v>
      </c>
      <c r="D272" s="3271" t="s">
        <v>1072</v>
      </c>
      <c r="E272" s="3285">
        <v>150000</v>
      </c>
      <c r="F272" s="3285">
        <v>150000</v>
      </c>
      <c r="G272" s="2686">
        <v>63940000</v>
      </c>
      <c r="H272" s="3184">
        <f>G272/F272</f>
        <v>426.26666666666665</v>
      </c>
    </row>
    <row r="273" spans="1:8" s="1702" customFormat="1" ht="17.100000000000001" customHeight="1">
      <c r="A273" s="1756"/>
      <c r="B273" s="2805"/>
      <c r="C273" s="3498" t="s">
        <v>504</v>
      </c>
      <c r="D273" s="3483" t="s">
        <v>1072</v>
      </c>
      <c r="E273" s="3285">
        <v>0</v>
      </c>
      <c r="F273" s="3285">
        <v>0</v>
      </c>
      <c r="G273" s="2686">
        <v>236300000</v>
      </c>
      <c r="H273" s="3184"/>
    </row>
    <row r="274" spans="1:8" s="1702" customFormat="1" ht="17.100000000000001" customHeight="1" thickBot="1">
      <c r="A274" s="1756"/>
      <c r="B274" s="2805"/>
      <c r="C274" s="3220" t="s">
        <v>569</v>
      </c>
      <c r="D274" s="3306" t="s">
        <v>1072</v>
      </c>
      <c r="E274" s="3285">
        <v>0</v>
      </c>
      <c r="F274" s="3285">
        <v>0</v>
      </c>
      <c r="G274" s="2686">
        <v>41700000</v>
      </c>
      <c r="H274" s="3282"/>
    </row>
    <row r="275" spans="1:8" ht="17.100000000000001" customHeight="1" thickBot="1">
      <c r="A275" s="1836"/>
      <c r="B275" s="1768" t="s">
        <v>583</v>
      </c>
      <c r="C275" s="1839"/>
      <c r="D275" s="1838" t="s">
        <v>97</v>
      </c>
      <c r="E275" s="1818">
        <f>SUM(E276,E285)</f>
        <v>76572267</v>
      </c>
      <c r="F275" s="1818">
        <f>SUM(F276,F285)</f>
        <v>144693559</v>
      </c>
      <c r="G275" s="1817">
        <f>SUM(G276,G285)</f>
        <v>100555545</v>
      </c>
      <c r="H275" s="1763">
        <f t="shared" ref="H275:H283" si="15">G275/F275</f>
        <v>0.69495522603048276</v>
      </c>
    </row>
    <row r="276" spans="1:8" ht="17.100000000000001" hidden="1" customHeight="1">
      <c r="A276" s="1836"/>
      <c r="B276" s="3497"/>
      <c r="C276" s="4599" t="s">
        <v>944</v>
      </c>
      <c r="D276" s="4599"/>
      <c r="E276" s="3454">
        <f>SUM(E282)</f>
        <v>0</v>
      </c>
      <c r="F276" s="3454">
        <f>SUM(F282)</f>
        <v>143</v>
      </c>
      <c r="G276" s="1761">
        <f>SUM(G282)</f>
        <v>0</v>
      </c>
      <c r="H276" s="3453">
        <f t="shared" si="15"/>
        <v>0</v>
      </c>
    </row>
    <row r="277" spans="1:8" ht="17.100000000000001" hidden="1" customHeight="1">
      <c r="A277" s="1836"/>
      <c r="B277" s="3490"/>
      <c r="C277" s="4622" t="s">
        <v>967</v>
      </c>
      <c r="D277" s="4622"/>
      <c r="E277" s="3285">
        <v>0</v>
      </c>
      <c r="F277" s="3285">
        <v>0</v>
      </c>
      <c r="G277" s="2686">
        <v>0</v>
      </c>
      <c r="H277" s="3184" t="e">
        <f t="shared" si="15"/>
        <v>#DIV/0!</v>
      </c>
    </row>
    <row r="278" spans="1:8" ht="17.100000000000001" hidden="1" customHeight="1">
      <c r="A278" s="1836"/>
      <c r="B278" s="3490"/>
      <c r="C278" s="4623" t="s">
        <v>961</v>
      </c>
      <c r="D278" s="4623"/>
      <c r="E278" s="3285">
        <v>0</v>
      </c>
      <c r="F278" s="3285">
        <v>0</v>
      </c>
      <c r="G278" s="2686">
        <v>0</v>
      </c>
      <c r="H278" s="3184" t="e">
        <f t="shared" si="15"/>
        <v>#DIV/0!</v>
      </c>
    </row>
    <row r="279" spans="1:8" ht="17.100000000000001" hidden="1" customHeight="1">
      <c r="A279" s="1836"/>
      <c r="B279" s="3490"/>
      <c r="C279" s="3496" t="s">
        <v>959</v>
      </c>
      <c r="D279" s="3495" t="s">
        <v>958</v>
      </c>
      <c r="E279" s="3285">
        <v>0</v>
      </c>
      <c r="F279" s="3285">
        <v>0</v>
      </c>
      <c r="G279" s="2686">
        <v>0</v>
      </c>
      <c r="H279" s="3184" t="e">
        <f t="shared" si="15"/>
        <v>#DIV/0!</v>
      </c>
    </row>
    <row r="280" spans="1:8" ht="17.100000000000001" hidden="1" customHeight="1">
      <c r="A280" s="1836"/>
      <c r="B280" s="3490"/>
      <c r="C280" s="3494" t="s">
        <v>996</v>
      </c>
      <c r="D280" s="3493" t="s">
        <v>995</v>
      </c>
      <c r="E280" s="3285">
        <v>0</v>
      </c>
      <c r="F280" s="3285">
        <v>0</v>
      </c>
      <c r="G280" s="2686">
        <v>0</v>
      </c>
      <c r="H280" s="3184" t="e">
        <f t="shared" si="15"/>
        <v>#DIV/0!</v>
      </c>
    </row>
    <row r="281" spans="1:8" ht="17.100000000000001" hidden="1" customHeight="1">
      <c r="A281" s="1836"/>
      <c r="B281" s="3490"/>
      <c r="C281" s="3492"/>
      <c r="D281" s="3491"/>
      <c r="E281" s="3451"/>
      <c r="F281" s="3451"/>
      <c r="G281" s="1802"/>
      <c r="H281" s="3184" t="e">
        <f t="shared" si="15"/>
        <v>#DIV/0!</v>
      </c>
    </row>
    <row r="282" spans="1:8" ht="17.100000000000001" hidden="1" customHeight="1">
      <c r="A282" s="1836"/>
      <c r="B282" s="3490"/>
      <c r="C282" s="4624" t="s">
        <v>976</v>
      </c>
      <c r="D282" s="4625"/>
      <c r="E282" s="3451">
        <f>SUM(E283)</f>
        <v>0</v>
      </c>
      <c r="F282" s="3451">
        <f>SUM(F283)</f>
        <v>143</v>
      </c>
      <c r="G282" s="1802">
        <f>SUM(G283)</f>
        <v>0</v>
      </c>
      <c r="H282" s="3184">
        <f t="shared" si="15"/>
        <v>0</v>
      </c>
    </row>
    <row r="283" spans="1:8" ht="51" hidden="1">
      <c r="A283" s="1836"/>
      <c r="B283" s="3490"/>
      <c r="C283" s="3480" t="s">
        <v>488</v>
      </c>
      <c r="D283" s="3489" t="s">
        <v>1137</v>
      </c>
      <c r="E283" s="3451">
        <v>0</v>
      </c>
      <c r="F283" s="3285">
        <v>143</v>
      </c>
      <c r="G283" s="2686">
        <v>0</v>
      </c>
      <c r="H283" s="3184">
        <f t="shared" si="15"/>
        <v>0</v>
      </c>
    </row>
    <row r="284" spans="1:8" ht="17.25" hidden="1" customHeight="1">
      <c r="A284" s="1836"/>
      <c r="B284" s="3469"/>
      <c r="C284" s="3488"/>
      <c r="D284" s="3487"/>
      <c r="E284" s="3486"/>
      <c r="F284" s="3404"/>
      <c r="G284" s="2681"/>
      <c r="H284" s="3117"/>
    </row>
    <row r="285" spans="1:8" ht="17.100000000000001" customHeight="1">
      <c r="A285" s="1836"/>
      <c r="B285" s="3469"/>
      <c r="C285" s="4626" t="s">
        <v>941</v>
      </c>
      <c r="D285" s="4601"/>
      <c r="E285" s="2538">
        <f>SUM(E286)</f>
        <v>76572267</v>
      </c>
      <c r="F285" s="2538">
        <f>SUM(F286)</f>
        <v>144693416</v>
      </c>
      <c r="G285" s="1761">
        <f>SUM(G286)</f>
        <v>100555545</v>
      </c>
      <c r="H285" s="3216">
        <f t="shared" ref="H285:H294" si="16">G285/F285</f>
        <v>0.69495591285231662</v>
      </c>
    </row>
    <row r="286" spans="1:8" ht="17.100000000000001" customHeight="1">
      <c r="A286" s="1836"/>
      <c r="B286" s="3469"/>
      <c r="C286" s="4627" t="s">
        <v>940</v>
      </c>
      <c r="D286" s="4628"/>
      <c r="E286" s="3285">
        <f>SUM(E287:E294)</f>
        <v>76572267</v>
      </c>
      <c r="F286" s="3285">
        <f>SUM(F287:F294)</f>
        <v>144693416</v>
      </c>
      <c r="G286" s="2686">
        <f>SUM(G287:G294)</f>
        <v>100555545</v>
      </c>
      <c r="H286" s="3184">
        <f t="shared" si="16"/>
        <v>0.69495591285231662</v>
      </c>
    </row>
    <row r="287" spans="1:8" ht="17.100000000000001" customHeight="1">
      <c r="A287" s="1836"/>
      <c r="B287" s="3469"/>
      <c r="C287" s="3485" t="s">
        <v>546</v>
      </c>
      <c r="D287" s="3484" t="s">
        <v>1023</v>
      </c>
      <c r="E287" s="3285">
        <v>31998997</v>
      </c>
      <c r="F287" s="3285">
        <v>32739604</v>
      </c>
      <c r="G287" s="2686">
        <v>59741840</v>
      </c>
      <c r="H287" s="3184">
        <f t="shared" si="16"/>
        <v>1.824757562736556</v>
      </c>
    </row>
    <row r="288" spans="1:8" ht="17.100000000000001" customHeight="1">
      <c r="A288" s="1836"/>
      <c r="B288" s="3469"/>
      <c r="C288" s="3485" t="s">
        <v>506</v>
      </c>
      <c r="D288" s="3484" t="s">
        <v>1023</v>
      </c>
      <c r="E288" s="3285">
        <v>22286635</v>
      </c>
      <c r="F288" s="3285">
        <v>21181210</v>
      </c>
      <c r="G288" s="2686">
        <v>22920771</v>
      </c>
      <c r="H288" s="3184">
        <f t="shared" si="16"/>
        <v>1.0821275555079242</v>
      </c>
    </row>
    <row r="289" spans="1:8" ht="17.100000000000001" customHeight="1">
      <c r="A289" s="1836"/>
      <c r="B289" s="3469"/>
      <c r="C289" s="3485" t="s">
        <v>505</v>
      </c>
      <c r="D289" s="3484" t="s">
        <v>1023</v>
      </c>
      <c r="E289" s="3285">
        <v>22286635</v>
      </c>
      <c r="F289" s="3285">
        <v>23581210</v>
      </c>
      <c r="G289" s="2686">
        <v>12892934</v>
      </c>
      <c r="H289" s="3184">
        <f t="shared" si="16"/>
        <v>0.54674607452289348</v>
      </c>
    </row>
    <row r="290" spans="1:8" ht="16.5" customHeight="1">
      <c r="A290" s="1836"/>
      <c r="B290" s="3469"/>
      <c r="C290" s="3480" t="s">
        <v>553</v>
      </c>
      <c r="D290" s="3483" t="s">
        <v>1072</v>
      </c>
      <c r="E290" s="3285">
        <v>0</v>
      </c>
      <c r="F290" s="3285">
        <v>1962078</v>
      </c>
      <c r="G290" s="2686">
        <v>5000000</v>
      </c>
      <c r="H290" s="3184">
        <f t="shared" si="16"/>
        <v>2.5483186703077045</v>
      </c>
    </row>
    <row r="291" spans="1:8" ht="16.5" hidden="1" customHeight="1">
      <c r="A291" s="1836"/>
      <c r="B291" s="3469"/>
      <c r="C291" s="3480" t="s">
        <v>504</v>
      </c>
      <c r="D291" s="3483" t="s">
        <v>1072</v>
      </c>
      <c r="E291" s="3285">
        <v>0</v>
      </c>
      <c r="F291" s="3285">
        <v>1105425</v>
      </c>
      <c r="G291" s="2686">
        <v>0</v>
      </c>
      <c r="H291" s="3184">
        <f t="shared" si="16"/>
        <v>0</v>
      </c>
    </row>
    <row r="292" spans="1:8" ht="16.5" hidden="1" customHeight="1">
      <c r="A292" s="1836"/>
      <c r="B292" s="3469"/>
      <c r="C292" s="2696" t="s">
        <v>569</v>
      </c>
      <c r="D292" s="3271" t="s">
        <v>1072</v>
      </c>
      <c r="E292" s="3285">
        <v>0</v>
      </c>
      <c r="F292" s="3285">
        <v>2210850</v>
      </c>
      <c r="G292" s="2686">
        <v>0</v>
      </c>
      <c r="H292" s="3184">
        <f t="shared" si="16"/>
        <v>0</v>
      </c>
    </row>
    <row r="293" spans="1:8" ht="54" hidden="1" customHeight="1">
      <c r="A293" s="1822"/>
      <c r="B293" s="3469"/>
      <c r="C293" s="3482" t="s">
        <v>566</v>
      </c>
      <c r="D293" s="3481" t="s">
        <v>1136</v>
      </c>
      <c r="E293" s="2500">
        <v>0</v>
      </c>
      <c r="F293" s="2500">
        <v>55152913</v>
      </c>
      <c r="G293" s="1802">
        <v>0</v>
      </c>
      <c r="H293" s="3470">
        <f t="shared" si="16"/>
        <v>0</v>
      </c>
    </row>
    <row r="294" spans="1:8" ht="54.75" hidden="1" customHeight="1">
      <c r="A294" s="1836"/>
      <c r="B294" s="3469"/>
      <c r="C294" s="3480" t="s">
        <v>123</v>
      </c>
      <c r="D294" s="3479" t="s">
        <v>1026</v>
      </c>
      <c r="E294" s="3285">
        <v>0</v>
      </c>
      <c r="F294" s="3285">
        <v>6760126</v>
      </c>
      <c r="G294" s="2686">
        <v>0</v>
      </c>
      <c r="H294" s="3184">
        <f t="shared" si="16"/>
        <v>0</v>
      </c>
    </row>
    <row r="295" spans="1:8" ht="15">
      <c r="A295" s="1836"/>
      <c r="B295" s="3469"/>
      <c r="C295" s="2766"/>
      <c r="D295" s="3478"/>
      <c r="E295" s="3285"/>
      <c r="F295" s="3285"/>
      <c r="G295" s="2686"/>
      <c r="H295" s="3184"/>
    </row>
    <row r="296" spans="1:8" ht="15">
      <c r="A296" s="1836"/>
      <c r="B296" s="3469"/>
      <c r="C296" s="4629" t="s">
        <v>1024</v>
      </c>
      <c r="D296" s="4630"/>
      <c r="E296" s="3286">
        <f>SUM(E297:E304)</f>
        <v>76572267</v>
      </c>
      <c r="F296" s="3286">
        <f>SUM(F297:F304)</f>
        <v>144693416</v>
      </c>
      <c r="G296" s="2715">
        <f>SUM(G297:G304)</f>
        <v>100555545</v>
      </c>
      <c r="H296" s="3206">
        <f t="shared" ref="H296:H321" si="17">G296/F296</f>
        <v>0.69495591285231662</v>
      </c>
    </row>
    <row r="297" spans="1:8" ht="17.100000000000001" customHeight="1">
      <c r="A297" s="1836"/>
      <c r="B297" s="3469"/>
      <c r="C297" s="3477" t="s">
        <v>546</v>
      </c>
      <c r="D297" s="3476" t="s">
        <v>1023</v>
      </c>
      <c r="E297" s="3285">
        <v>31998997</v>
      </c>
      <c r="F297" s="3285">
        <v>32739604</v>
      </c>
      <c r="G297" s="2686">
        <v>59741840</v>
      </c>
      <c r="H297" s="3184">
        <f t="shared" si="17"/>
        <v>1.824757562736556</v>
      </c>
    </row>
    <row r="298" spans="1:8" ht="17.100000000000001" customHeight="1">
      <c r="A298" s="1836"/>
      <c r="B298" s="3469"/>
      <c r="C298" s="3477" t="s">
        <v>506</v>
      </c>
      <c r="D298" s="3476" t="s">
        <v>1023</v>
      </c>
      <c r="E298" s="3285">
        <v>22286635</v>
      </c>
      <c r="F298" s="3285">
        <v>21181210</v>
      </c>
      <c r="G298" s="2686">
        <v>22920771</v>
      </c>
      <c r="H298" s="3184">
        <f t="shared" si="17"/>
        <v>1.0821275555079242</v>
      </c>
    </row>
    <row r="299" spans="1:8" ht="17.100000000000001" customHeight="1">
      <c r="A299" s="1836"/>
      <c r="B299" s="3469"/>
      <c r="C299" s="3475" t="s">
        <v>505</v>
      </c>
      <c r="D299" s="3474" t="s">
        <v>1023</v>
      </c>
      <c r="E299" s="3285">
        <v>22286635</v>
      </c>
      <c r="F299" s="3285">
        <v>23581210</v>
      </c>
      <c r="G299" s="2686">
        <v>12892934</v>
      </c>
      <c r="H299" s="3184">
        <f t="shared" si="17"/>
        <v>0.54674607452289348</v>
      </c>
    </row>
    <row r="300" spans="1:8" ht="17.100000000000001" customHeight="1" thickBot="1">
      <c r="A300" s="2195"/>
      <c r="B300" s="3473"/>
      <c r="C300" s="2248" t="s">
        <v>553</v>
      </c>
      <c r="D300" s="3472" t="s">
        <v>1072</v>
      </c>
      <c r="E300" s="2636">
        <v>0</v>
      </c>
      <c r="F300" s="2636">
        <v>1962078</v>
      </c>
      <c r="G300" s="1738">
        <v>5000000</v>
      </c>
      <c r="H300" s="3184">
        <f t="shared" si="17"/>
        <v>2.5483186703077045</v>
      </c>
    </row>
    <row r="301" spans="1:8" ht="16.5" hidden="1" customHeight="1">
      <c r="A301" s="1836"/>
      <c r="B301" s="3469"/>
      <c r="C301" s="3305" t="s">
        <v>504</v>
      </c>
      <c r="D301" s="1864" t="s">
        <v>1072</v>
      </c>
      <c r="E301" s="2500">
        <v>0</v>
      </c>
      <c r="F301" s="2500">
        <v>1105425</v>
      </c>
      <c r="G301" s="1802">
        <v>0</v>
      </c>
      <c r="H301" s="3184">
        <f t="shared" si="17"/>
        <v>0</v>
      </c>
    </row>
    <row r="302" spans="1:8" ht="15.75" hidden="1" customHeight="1">
      <c r="A302" s="1836"/>
      <c r="B302" s="3469"/>
      <c r="C302" s="2699" t="s">
        <v>569</v>
      </c>
      <c r="D302" s="3124" t="s">
        <v>1072</v>
      </c>
      <c r="E302" s="3285">
        <v>0</v>
      </c>
      <c r="F302" s="3285">
        <v>2210850</v>
      </c>
      <c r="G302" s="2686">
        <v>0</v>
      </c>
      <c r="H302" s="3184">
        <f t="shared" si="17"/>
        <v>0</v>
      </c>
    </row>
    <row r="303" spans="1:8" ht="55.5" hidden="1" customHeight="1">
      <c r="A303" s="1822"/>
      <c r="B303" s="3469"/>
      <c r="C303" s="3471" t="s">
        <v>566</v>
      </c>
      <c r="D303" s="2504" t="s">
        <v>1136</v>
      </c>
      <c r="E303" s="2500">
        <v>0</v>
      </c>
      <c r="F303" s="2500">
        <v>55152913</v>
      </c>
      <c r="G303" s="1802">
        <v>0</v>
      </c>
      <c r="H303" s="3470">
        <f t="shared" si="17"/>
        <v>0</v>
      </c>
    </row>
    <row r="304" spans="1:8" ht="55.5" hidden="1" customHeight="1" thickBot="1">
      <c r="A304" s="1836"/>
      <c r="B304" s="3469"/>
      <c r="C304" s="3468" t="s">
        <v>123</v>
      </c>
      <c r="D304" s="3467" t="s">
        <v>1026</v>
      </c>
      <c r="E304" s="3466">
        <v>0</v>
      </c>
      <c r="F304" s="3466">
        <v>6760126</v>
      </c>
      <c r="G304" s="3283">
        <v>0</v>
      </c>
      <c r="H304" s="2617">
        <f t="shared" si="17"/>
        <v>0</v>
      </c>
    </row>
    <row r="305" spans="1:8" ht="17.100000000000001" customHeight="1" thickBot="1">
      <c r="A305" s="3465"/>
      <c r="B305" s="1768" t="s">
        <v>793</v>
      </c>
      <c r="C305" s="1839"/>
      <c r="D305" s="1838" t="s">
        <v>103</v>
      </c>
      <c r="E305" s="1765">
        <f>SUM(E306)</f>
        <v>51873000</v>
      </c>
      <c r="F305" s="1765">
        <f>SUM(F306)</f>
        <v>51873000</v>
      </c>
      <c r="G305" s="1764">
        <f>SUM(G306)</f>
        <v>51604000</v>
      </c>
      <c r="H305" s="1763">
        <f t="shared" si="17"/>
        <v>0.99481425789909972</v>
      </c>
    </row>
    <row r="306" spans="1:8" ht="17.100000000000001" customHeight="1">
      <c r="A306" s="1836"/>
      <c r="B306" s="3275"/>
      <c r="C306" s="4223" t="s">
        <v>944</v>
      </c>
      <c r="D306" s="4599"/>
      <c r="E306" s="3454">
        <f>SUM(E311)</f>
        <v>51873000</v>
      </c>
      <c r="F306" s="3454">
        <f>SUM(F311)</f>
        <v>51873000</v>
      </c>
      <c r="G306" s="1761">
        <f>SUM(G311)</f>
        <v>51604000</v>
      </c>
      <c r="H306" s="3453">
        <f t="shared" si="17"/>
        <v>0.99481425789909972</v>
      </c>
    </row>
    <row r="307" spans="1:8" ht="17.100000000000001" hidden="1" customHeight="1">
      <c r="A307" s="1836"/>
      <c r="B307" s="2480"/>
      <c r="C307" s="4618" t="s">
        <v>967</v>
      </c>
      <c r="D307" s="4618"/>
      <c r="E307" s="3454">
        <v>0</v>
      </c>
      <c r="F307" s="3454">
        <v>0</v>
      </c>
      <c r="G307" s="1761">
        <v>0</v>
      </c>
      <c r="H307" s="3184" t="e">
        <f t="shared" si="17"/>
        <v>#DIV/0!</v>
      </c>
    </row>
    <row r="308" spans="1:8" ht="17.100000000000001" hidden="1" customHeight="1">
      <c r="A308" s="1836"/>
      <c r="B308" s="2480"/>
      <c r="C308" s="4616" t="s">
        <v>961</v>
      </c>
      <c r="D308" s="4616"/>
      <c r="E308" s="3285">
        <v>0</v>
      </c>
      <c r="F308" s="3285">
        <v>0</v>
      </c>
      <c r="G308" s="2686">
        <v>0</v>
      </c>
      <c r="H308" s="3184" t="e">
        <f t="shared" si="17"/>
        <v>#DIV/0!</v>
      </c>
    </row>
    <row r="309" spans="1:8" ht="54.75" hidden="1" customHeight="1">
      <c r="A309" s="1836"/>
      <c r="B309" s="2480"/>
      <c r="C309" s="3464" t="s">
        <v>1046</v>
      </c>
      <c r="D309" s="2790" t="s">
        <v>1045</v>
      </c>
      <c r="E309" s="3285">
        <v>0</v>
      </c>
      <c r="F309" s="3285">
        <v>0</v>
      </c>
      <c r="G309" s="2686">
        <v>0</v>
      </c>
      <c r="H309" s="3184" t="e">
        <f t="shared" si="17"/>
        <v>#DIV/0!</v>
      </c>
    </row>
    <row r="310" spans="1:8" ht="17.100000000000001" hidden="1" customHeight="1">
      <c r="A310" s="1836"/>
      <c r="B310" s="2480"/>
      <c r="C310" s="3463"/>
      <c r="D310" s="3462"/>
      <c r="E310" s="1750"/>
      <c r="F310" s="1750"/>
      <c r="G310" s="1749"/>
      <c r="H310" s="3184" t="e">
        <f t="shared" si="17"/>
        <v>#DIV/0!</v>
      </c>
    </row>
    <row r="311" spans="1:8" ht="17.100000000000001" customHeight="1">
      <c r="A311" s="1836"/>
      <c r="B311" s="2480"/>
      <c r="C311" s="4617" t="s">
        <v>943</v>
      </c>
      <c r="D311" s="4617"/>
      <c r="E311" s="3461">
        <f>SUM(E312:E315)</f>
        <v>51873000</v>
      </c>
      <c r="F311" s="3461">
        <f>SUM(F312:F315)</f>
        <v>51873000</v>
      </c>
      <c r="G311" s="3460">
        <f>SUM(G312:G315)</f>
        <v>51604000</v>
      </c>
      <c r="H311" s="3184">
        <f t="shared" si="17"/>
        <v>0.99481425789909972</v>
      </c>
    </row>
    <row r="312" spans="1:8" ht="45.75" customHeight="1">
      <c r="A312" s="1836"/>
      <c r="B312" s="2480"/>
      <c r="C312" s="3459" t="s">
        <v>1400</v>
      </c>
      <c r="D312" s="3458" t="s">
        <v>1399</v>
      </c>
      <c r="E312" s="3285">
        <v>1600000</v>
      </c>
      <c r="F312" s="3285">
        <v>1600000</v>
      </c>
      <c r="G312" s="2686">
        <v>1300000</v>
      </c>
      <c r="H312" s="3184">
        <f t="shared" si="17"/>
        <v>0.8125</v>
      </c>
    </row>
    <row r="313" spans="1:8" ht="45.75" customHeight="1">
      <c r="A313" s="1822"/>
      <c r="B313" s="2480"/>
      <c r="C313" s="3459" t="s">
        <v>381</v>
      </c>
      <c r="D313" s="3458" t="s">
        <v>1398</v>
      </c>
      <c r="E313" s="3285">
        <v>4050000</v>
      </c>
      <c r="F313" s="3285">
        <v>4050000</v>
      </c>
      <c r="G313" s="2686">
        <v>3000000</v>
      </c>
      <c r="H313" s="3184">
        <f t="shared" si="17"/>
        <v>0.7407407407407407</v>
      </c>
    </row>
    <row r="314" spans="1:8" ht="29.25" customHeight="1">
      <c r="A314" s="1836"/>
      <c r="B314" s="2480"/>
      <c r="C314" s="3457" t="s">
        <v>849</v>
      </c>
      <c r="D314" s="3456" t="s">
        <v>1397</v>
      </c>
      <c r="E314" s="3451">
        <v>43873000</v>
      </c>
      <c r="F314" s="3451">
        <v>43873000</v>
      </c>
      <c r="G314" s="2686">
        <v>43604000</v>
      </c>
      <c r="H314" s="3184">
        <f t="shared" si="17"/>
        <v>0.99386866637795457</v>
      </c>
    </row>
    <row r="315" spans="1:8" ht="30" customHeight="1" thickBot="1">
      <c r="A315" s="1822"/>
      <c r="B315" s="2077"/>
      <c r="C315" s="3455" t="s">
        <v>1039</v>
      </c>
      <c r="D315" s="3324" t="s">
        <v>1038</v>
      </c>
      <c r="E315" s="2636">
        <v>2350000</v>
      </c>
      <c r="F315" s="2636">
        <v>2350000</v>
      </c>
      <c r="G315" s="1738">
        <v>3700000</v>
      </c>
      <c r="H315" s="2617">
        <f t="shared" si="17"/>
        <v>1.574468085106383</v>
      </c>
    </row>
    <row r="316" spans="1:8" ht="57.75" hidden="1" customHeight="1">
      <c r="A316" s="1836"/>
      <c r="B316" s="2003"/>
      <c r="C316" s="2002" t="s">
        <v>47</v>
      </c>
      <c r="D316" s="2001" t="s">
        <v>79</v>
      </c>
      <c r="E316" s="2000">
        <v>0</v>
      </c>
      <c r="F316" s="2000"/>
      <c r="G316" s="1999"/>
      <c r="H316" s="1998" t="e">
        <f t="shared" si="17"/>
        <v>#DIV/0!</v>
      </c>
    </row>
    <row r="317" spans="1:8" ht="17.100000000000001" customHeight="1" thickBot="1">
      <c r="A317" s="1822"/>
      <c r="B317" s="1768" t="s">
        <v>1396</v>
      </c>
      <c r="C317" s="1839"/>
      <c r="D317" s="1838" t="s">
        <v>109</v>
      </c>
      <c r="E317" s="1818">
        <f>SUM(E318)</f>
        <v>304040</v>
      </c>
      <c r="F317" s="1818">
        <f>SUM(F318)</f>
        <v>304040</v>
      </c>
      <c r="G317" s="1817">
        <f>SUM(G318)</f>
        <v>260000</v>
      </c>
      <c r="H317" s="1763">
        <f t="shared" si="17"/>
        <v>0.85515063807393765</v>
      </c>
    </row>
    <row r="318" spans="1:8" ht="17.100000000000001" customHeight="1">
      <c r="A318" s="1836"/>
      <c r="B318" s="4084"/>
      <c r="C318" s="4599" t="s">
        <v>944</v>
      </c>
      <c r="D318" s="4599"/>
      <c r="E318" s="3454">
        <f>SUM(E319,E323)</f>
        <v>304040</v>
      </c>
      <c r="F318" s="3454">
        <f>SUM(F319,F323)</f>
        <v>304040</v>
      </c>
      <c r="G318" s="1761">
        <f>SUM(G319,G323)</f>
        <v>260000</v>
      </c>
      <c r="H318" s="3453">
        <f t="shared" si="17"/>
        <v>0.85515063807393765</v>
      </c>
    </row>
    <row r="319" spans="1:8" ht="17.100000000000001" customHeight="1">
      <c r="A319" s="1836"/>
      <c r="B319" s="4084"/>
      <c r="C319" s="4618" t="s">
        <v>967</v>
      </c>
      <c r="D319" s="4618"/>
      <c r="E319" s="3285">
        <f t="shared" ref="E319:G320" si="18">SUM(E320)</f>
        <v>254040</v>
      </c>
      <c r="F319" s="3285">
        <f t="shared" si="18"/>
        <v>254040</v>
      </c>
      <c r="G319" s="2686">
        <f t="shared" si="18"/>
        <v>260000</v>
      </c>
      <c r="H319" s="3184">
        <f t="shared" si="17"/>
        <v>1.0234608723035743</v>
      </c>
    </row>
    <row r="320" spans="1:8" ht="17.100000000000001" customHeight="1">
      <c r="A320" s="1836"/>
      <c r="B320" s="4084"/>
      <c r="C320" s="4616" t="s">
        <v>961</v>
      </c>
      <c r="D320" s="4616"/>
      <c r="E320" s="3286">
        <f t="shared" si="18"/>
        <v>254040</v>
      </c>
      <c r="F320" s="3286">
        <f t="shared" si="18"/>
        <v>254040</v>
      </c>
      <c r="G320" s="2715">
        <f t="shared" si="18"/>
        <v>260000</v>
      </c>
      <c r="H320" s="3184">
        <f t="shared" si="17"/>
        <v>1.0234608723035743</v>
      </c>
    </row>
    <row r="321" spans="1:10" ht="17.100000000000001" customHeight="1" thickBot="1">
      <c r="A321" s="1836"/>
      <c r="B321" s="4084"/>
      <c r="C321" s="3224" t="s">
        <v>996</v>
      </c>
      <c r="D321" s="3223" t="s">
        <v>995</v>
      </c>
      <c r="E321" s="3285">
        <v>254040</v>
      </c>
      <c r="F321" s="3285">
        <v>254040</v>
      </c>
      <c r="G321" s="2686">
        <v>260000</v>
      </c>
      <c r="H321" s="3184">
        <f t="shared" si="17"/>
        <v>1.0234608723035743</v>
      </c>
    </row>
    <row r="322" spans="1:10" ht="17.100000000000001" hidden="1" customHeight="1">
      <c r="A322" s="1836"/>
      <c r="B322" s="1755"/>
      <c r="C322" s="3322"/>
      <c r="D322" s="3321"/>
      <c r="E322" s="3452"/>
      <c r="F322" s="3451"/>
      <c r="G322" s="1802"/>
      <c r="H322" s="3184"/>
    </row>
    <row r="323" spans="1:10" ht="17.100000000000001" hidden="1" customHeight="1">
      <c r="A323" s="1836"/>
      <c r="B323" s="1755"/>
      <c r="C323" s="4619" t="s">
        <v>943</v>
      </c>
      <c r="D323" s="4619"/>
      <c r="E323" s="2500">
        <f>SUM(E324)</f>
        <v>50000</v>
      </c>
      <c r="F323" s="2500">
        <f>SUM(F324)</f>
        <v>50000</v>
      </c>
      <c r="G323" s="1802">
        <f>SUM(G324)</f>
        <v>0</v>
      </c>
      <c r="H323" s="3184">
        <f t="shared" ref="H323:H335" si="19">G323/F323</f>
        <v>0</v>
      </c>
    </row>
    <row r="324" spans="1:10" ht="45" hidden="1" customHeight="1" thickBot="1">
      <c r="A324" s="1836"/>
      <c r="B324" s="1755"/>
      <c r="C324" s="3450" t="s">
        <v>91</v>
      </c>
      <c r="D324" s="3396" t="s">
        <v>955</v>
      </c>
      <c r="E324" s="3286">
        <v>50000</v>
      </c>
      <c r="F324" s="3285">
        <v>50000</v>
      </c>
      <c r="G324" s="2686">
        <v>0</v>
      </c>
      <c r="H324" s="3184">
        <f t="shared" si="19"/>
        <v>0</v>
      </c>
    </row>
    <row r="325" spans="1:10" ht="13.5" hidden="1" customHeight="1" thickBot="1">
      <c r="A325" s="1836"/>
      <c r="B325" s="2003"/>
      <c r="C325" s="4620"/>
      <c r="D325" s="4620"/>
      <c r="E325" s="3449"/>
      <c r="F325" s="3404"/>
      <c r="G325" s="2681"/>
      <c r="H325" s="3148" t="e">
        <f t="shared" si="19"/>
        <v>#DIV/0!</v>
      </c>
    </row>
    <row r="326" spans="1:10" s="1906" customFormat="1" ht="17.100000000000001" customHeight="1" thickBot="1">
      <c r="A326" s="1923"/>
      <c r="B326" s="1971" t="s">
        <v>547</v>
      </c>
      <c r="C326" s="1970"/>
      <c r="D326" s="1969" t="s">
        <v>113</v>
      </c>
      <c r="E326" s="1968">
        <f>SUM(E327,E368)</f>
        <v>448636450</v>
      </c>
      <c r="F326" s="1968">
        <f>SUM(F327,F368)</f>
        <v>449171874</v>
      </c>
      <c r="G326" s="1967">
        <f>SUM(G327,G368)</f>
        <v>491866531</v>
      </c>
      <c r="H326" s="1966">
        <f t="shared" si="19"/>
        <v>1.0950519377355314</v>
      </c>
      <c r="J326" s="1702"/>
    </row>
    <row r="327" spans="1:10" s="1906" customFormat="1" ht="17.100000000000001" customHeight="1">
      <c r="A327" s="1923"/>
      <c r="B327" s="1922"/>
      <c r="C327" s="4621" t="s">
        <v>944</v>
      </c>
      <c r="D327" s="4621"/>
      <c r="E327" s="2509">
        <f>SUM(E328)</f>
        <v>54887140</v>
      </c>
      <c r="F327" s="2509">
        <f>SUM(F328)</f>
        <v>82060742</v>
      </c>
      <c r="G327" s="1964">
        <f>SUM(G328)</f>
        <v>65045371</v>
      </c>
      <c r="H327" s="3448">
        <f t="shared" si="19"/>
        <v>0.7926490720739523</v>
      </c>
      <c r="J327" s="1702"/>
    </row>
    <row r="328" spans="1:10" s="1906" customFormat="1" ht="17.100000000000001" customHeight="1">
      <c r="A328" s="1923"/>
      <c r="B328" s="1922"/>
      <c r="C328" s="4485" t="s">
        <v>967</v>
      </c>
      <c r="D328" s="4604"/>
      <c r="E328" s="3356">
        <f>SUM(E329,E337)</f>
        <v>54887140</v>
      </c>
      <c r="F328" s="3356">
        <f>SUM(F329,F337)</f>
        <v>82060742</v>
      </c>
      <c r="G328" s="2870">
        <f>SUM(G329,G337)</f>
        <v>65045371</v>
      </c>
      <c r="H328" s="3111">
        <f t="shared" si="19"/>
        <v>0.7926490720739523</v>
      </c>
      <c r="J328" s="1702"/>
    </row>
    <row r="329" spans="1:10" s="1906" customFormat="1" ht="17.100000000000001" hidden="1" customHeight="1">
      <c r="A329" s="1923"/>
      <c r="B329" s="1922"/>
      <c r="C329" s="4605" t="s">
        <v>966</v>
      </c>
      <c r="D329" s="4606"/>
      <c r="E329" s="3364">
        <f>SUM(E334)</f>
        <v>0</v>
      </c>
      <c r="F329" s="3364">
        <f>SUM(F334)</f>
        <v>53000</v>
      </c>
      <c r="G329" s="3046">
        <f>SUM(G334)</f>
        <v>0</v>
      </c>
      <c r="H329" s="3142">
        <f t="shared" si="19"/>
        <v>0</v>
      </c>
      <c r="J329" s="1702"/>
    </row>
    <row r="330" spans="1:10" s="1906" customFormat="1" ht="17.100000000000001" hidden="1" customHeight="1">
      <c r="A330" s="1923"/>
      <c r="B330" s="1922"/>
      <c r="C330" s="3174" t="s">
        <v>1016</v>
      </c>
      <c r="D330" s="3140" t="s">
        <v>1015</v>
      </c>
      <c r="E330" s="3356">
        <v>0</v>
      </c>
      <c r="F330" s="3356"/>
      <c r="G330" s="2870"/>
      <c r="H330" s="3111" t="e">
        <f t="shared" si="19"/>
        <v>#DIV/0!</v>
      </c>
      <c r="J330" s="1702"/>
    </row>
    <row r="331" spans="1:10" s="1906" customFormat="1" ht="17.100000000000001" hidden="1" customHeight="1">
      <c r="A331" s="1923"/>
      <c r="B331" s="1922"/>
      <c r="C331" s="3174" t="s">
        <v>1014</v>
      </c>
      <c r="D331" s="3140" t="s">
        <v>1013</v>
      </c>
      <c r="E331" s="3356">
        <v>0</v>
      </c>
      <c r="F331" s="3356"/>
      <c r="G331" s="2870"/>
      <c r="H331" s="3111" t="e">
        <f t="shared" si="19"/>
        <v>#DIV/0!</v>
      </c>
      <c r="J331" s="1702"/>
    </row>
    <row r="332" spans="1:10" s="1906" customFormat="1" ht="17.100000000000001" hidden="1" customHeight="1">
      <c r="A332" s="1923"/>
      <c r="B332" s="1922"/>
      <c r="C332" s="3174" t="s">
        <v>965</v>
      </c>
      <c r="D332" s="3140" t="s">
        <v>964</v>
      </c>
      <c r="E332" s="3356">
        <v>0</v>
      </c>
      <c r="F332" s="3356"/>
      <c r="G332" s="2870"/>
      <c r="H332" s="3111" t="e">
        <f t="shared" si="19"/>
        <v>#DIV/0!</v>
      </c>
      <c r="J332" s="1702"/>
    </row>
    <row r="333" spans="1:10" s="1906" customFormat="1" ht="27.75" hidden="1" customHeight="1">
      <c r="A333" s="1923"/>
      <c r="B333" s="1922"/>
      <c r="C333" s="3174" t="s">
        <v>963</v>
      </c>
      <c r="D333" s="3140" t="s">
        <v>1062</v>
      </c>
      <c r="E333" s="3356">
        <v>0</v>
      </c>
      <c r="F333" s="3356"/>
      <c r="G333" s="2870"/>
      <c r="H333" s="3111" t="e">
        <f t="shared" si="19"/>
        <v>#DIV/0!</v>
      </c>
      <c r="J333" s="1702"/>
    </row>
    <row r="334" spans="1:10" s="1906" customFormat="1" ht="17.100000000000001" hidden="1" customHeight="1">
      <c r="A334" s="1922"/>
      <c r="B334" s="1922"/>
      <c r="C334" s="3154" t="s">
        <v>974</v>
      </c>
      <c r="D334" s="3153" t="s">
        <v>973</v>
      </c>
      <c r="E334" s="3356">
        <v>0</v>
      </c>
      <c r="F334" s="3356">
        <v>53000</v>
      </c>
      <c r="G334" s="2870">
        <v>0</v>
      </c>
      <c r="H334" s="3111">
        <f t="shared" si="19"/>
        <v>0</v>
      </c>
      <c r="J334" s="1702"/>
    </row>
    <row r="335" spans="1:10" s="1906" customFormat="1" ht="17.100000000000001" hidden="1" customHeight="1">
      <c r="A335" s="1923"/>
      <c r="B335" s="1922"/>
      <c r="C335" s="3426" t="s">
        <v>1012</v>
      </c>
      <c r="D335" s="3425" t="s">
        <v>1011</v>
      </c>
      <c r="E335" s="3447">
        <v>0</v>
      </c>
      <c r="F335" s="3447"/>
      <c r="G335" s="1929"/>
      <c r="H335" s="3446" t="e">
        <f t="shared" si="19"/>
        <v>#DIV/0!</v>
      </c>
      <c r="J335" s="1702"/>
    </row>
    <row r="336" spans="1:10" s="1906" customFormat="1" ht="17.100000000000001" hidden="1" customHeight="1">
      <c r="A336" s="1923"/>
      <c r="B336" s="1922"/>
      <c r="C336" s="4607"/>
      <c r="D336" s="4608"/>
      <c r="E336" s="3438"/>
      <c r="F336" s="3356"/>
      <c r="G336" s="2870"/>
      <c r="H336" s="3111"/>
      <c r="J336" s="1702"/>
    </row>
    <row r="337" spans="1:10" s="1906" customFormat="1" ht="17.100000000000001" customHeight="1">
      <c r="A337" s="1923"/>
      <c r="B337" s="1922"/>
      <c r="C337" s="4609" t="s">
        <v>961</v>
      </c>
      <c r="D337" s="4609"/>
      <c r="E337" s="3445">
        <f>SUM(E339:E359)</f>
        <v>54887140</v>
      </c>
      <c r="F337" s="3445">
        <f>SUM(F339:F359)</f>
        <v>82007742</v>
      </c>
      <c r="G337" s="3136">
        <f>SUM(G339:G359)</f>
        <v>65045371</v>
      </c>
      <c r="H337" s="3142">
        <f t="shared" ref="H337:H363" si="20">G337/F337</f>
        <v>0.79316134566904672</v>
      </c>
      <c r="J337" s="1702"/>
    </row>
    <row r="338" spans="1:10" s="1906" customFormat="1" ht="17.100000000000001" hidden="1" customHeight="1">
      <c r="A338" s="1923"/>
      <c r="B338" s="1922"/>
      <c r="C338" s="3141" t="s">
        <v>1048</v>
      </c>
      <c r="D338" s="3140" t="s">
        <v>1047</v>
      </c>
      <c r="E338" s="3356">
        <v>0</v>
      </c>
      <c r="F338" s="3356"/>
      <c r="G338" s="2870"/>
      <c r="H338" s="3111" t="e">
        <f t="shared" si="20"/>
        <v>#DIV/0!</v>
      </c>
      <c r="J338" s="1702"/>
    </row>
    <row r="339" spans="1:10" s="1906" customFormat="1" ht="17.100000000000001" customHeight="1">
      <c r="A339" s="1923"/>
      <c r="B339" s="1922"/>
      <c r="C339" s="3141" t="s">
        <v>613</v>
      </c>
      <c r="D339" s="3140" t="s">
        <v>960</v>
      </c>
      <c r="E339" s="3356">
        <v>7460000</v>
      </c>
      <c r="F339" s="3356">
        <v>11989000</v>
      </c>
      <c r="G339" s="2870">
        <v>9422500</v>
      </c>
      <c r="H339" s="3111">
        <f t="shared" si="20"/>
        <v>0.78592876803736755</v>
      </c>
      <c r="J339" s="1702"/>
    </row>
    <row r="340" spans="1:10" s="1906" customFormat="1" ht="17.100000000000001" hidden="1" customHeight="1">
      <c r="A340" s="1923"/>
      <c r="B340" s="1922"/>
      <c r="C340" s="3141" t="s">
        <v>1008</v>
      </c>
      <c r="D340" s="3140" t="s">
        <v>1007</v>
      </c>
      <c r="E340" s="3356">
        <v>0</v>
      </c>
      <c r="F340" s="3356"/>
      <c r="G340" s="2870"/>
      <c r="H340" s="3111" t="e">
        <f t="shared" si="20"/>
        <v>#DIV/0!</v>
      </c>
      <c r="J340" s="1702"/>
    </row>
    <row r="341" spans="1:10" s="1906" customFormat="1" ht="17.100000000000001" customHeight="1">
      <c r="A341" s="1923"/>
      <c r="B341" s="1922"/>
      <c r="C341" s="3141" t="s">
        <v>1004</v>
      </c>
      <c r="D341" s="3140" t="s">
        <v>1003</v>
      </c>
      <c r="E341" s="3356">
        <v>220000</v>
      </c>
      <c r="F341" s="3356">
        <v>406000</v>
      </c>
      <c r="G341" s="2870">
        <v>763000</v>
      </c>
      <c r="H341" s="3111">
        <f t="shared" si="20"/>
        <v>1.8793103448275863</v>
      </c>
      <c r="J341" s="1702"/>
    </row>
    <row r="342" spans="1:10" s="1906" customFormat="1" ht="17.100000000000001" customHeight="1">
      <c r="A342" s="1923"/>
      <c r="B342" s="1922"/>
      <c r="C342" s="3141" t="s">
        <v>1002</v>
      </c>
      <c r="D342" s="3140" t="s">
        <v>1001</v>
      </c>
      <c r="E342" s="3356">
        <v>27515900</v>
      </c>
      <c r="F342" s="3356">
        <v>46591035</v>
      </c>
      <c r="G342" s="2870">
        <v>30733650</v>
      </c>
      <c r="H342" s="3111">
        <f t="shared" si="20"/>
        <v>0.6596472905141515</v>
      </c>
      <c r="J342" s="1702"/>
    </row>
    <row r="343" spans="1:10" s="1906" customFormat="1" ht="17.100000000000001" hidden="1" customHeight="1">
      <c r="A343" s="1923"/>
      <c r="B343" s="1922"/>
      <c r="C343" s="3141" t="s">
        <v>1000</v>
      </c>
      <c r="D343" s="3140" t="s">
        <v>999</v>
      </c>
      <c r="E343" s="3356">
        <v>0</v>
      </c>
      <c r="F343" s="3356"/>
      <c r="G343" s="2870"/>
      <c r="H343" s="3111" t="e">
        <f t="shared" si="20"/>
        <v>#DIV/0!</v>
      </c>
      <c r="J343" s="1702"/>
    </row>
    <row r="344" spans="1:10" s="1906" customFormat="1" ht="17.100000000000001" customHeight="1">
      <c r="A344" s="1923"/>
      <c r="B344" s="1922"/>
      <c r="C344" s="3141" t="s">
        <v>959</v>
      </c>
      <c r="D344" s="3140" t="s">
        <v>958</v>
      </c>
      <c r="E344" s="3356">
        <v>17015000</v>
      </c>
      <c r="F344" s="3356">
        <v>19905500</v>
      </c>
      <c r="G344" s="2870">
        <v>21237510</v>
      </c>
      <c r="H344" s="3111">
        <f t="shared" si="20"/>
        <v>1.0669166813192335</v>
      </c>
      <c r="J344" s="1702"/>
    </row>
    <row r="345" spans="1:10" s="1906" customFormat="1" ht="16.5" hidden="1" customHeight="1">
      <c r="A345" s="1923"/>
      <c r="B345" s="1922"/>
      <c r="C345" s="3141" t="s">
        <v>998</v>
      </c>
      <c r="D345" s="3140" t="s">
        <v>997</v>
      </c>
      <c r="E345" s="3356">
        <v>0</v>
      </c>
      <c r="F345" s="3356"/>
      <c r="G345" s="2870"/>
      <c r="H345" s="3111" t="e">
        <f t="shared" si="20"/>
        <v>#DIV/0!</v>
      </c>
      <c r="J345" s="1702"/>
    </row>
    <row r="346" spans="1:10" s="1906" customFormat="1" ht="17.100000000000001" customHeight="1">
      <c r="A346" s="1923"/>
      <c r="B346" s="1922"/>
      <c r="C346" s="3141" t="s">
        <v>996</v>
      </c>
      <c r="D346" s="3140" t="s">
        <v>995</v>
      </c>
      <c r="E346" s="3356">
        <v>1455000</v>
      </c>
      <c r="F346" s="3356">
        <v>1460000</v>
      </c>
      <c r="G346" s="2870">
        <v>1339411</v>
      </c>
      <c r="H346" s="3111">
        <f t="shared" si="20"/>
        <v>0.91740479452054791</v>
      </c>
      <c r="J346" s="1702"/>
    </row>
    <row r="347" spans="1:10" s="1906" customFormat="1" ht="29.25" customHeight="1">
      <c r="A347" s="1923"/>
      <c r="B347" s="1922"/>
      <c r="C347" s="3141" t="s">
        <v>994</v>
      </c>
      <c r="D347" s="3140" t="s">
        <v>993</v>
      </c>
      <c r="E347" s="3356">
        <v>23000</v>
      </c>
      <c r="F347" s="3356">
        <v>23000</v>
      </c>
      <c r="G347" s="2870">
        <v>25000</v>
      </c>
      <c r="H347" s="3111">
        <f t="shared" si="20"/>
        <v>1.0869565217391304</v>
      </c>
      <c r="J347" s="1702"/>
    </row>
    <row r="348" spans="1:10" s="1906" customFormat="1" ht="17.100000000000001" hidden="1" customHeight="1">
      <c r="A348" s="1923"/>
      <c r="B348" s="1922"/>
      <c r="C348" s="3141" t="s">
        <v>992</v>
      </c>
      <c r="D348" s="3140" t="s">
        <v>991</v>
      </c>
      <c r="E348" s="3356">
        <v>0</v>
      </c>
      <c r="F348" s="3356"/>
      <c r="G348" s="2870"/>
      <c r="H348" s="3111" t="e">
        <f t="shared" si="20"/>
        <v>#DIV/0!</v>
      </c>
      <c r="J348" s="1702"/>
    </row>
    <row r="349" spans="1:10" s="1906" customFormat="1" ht="17.100000000000001" hidden="1" customHeight="1">
      <c r="A349" s="1923"/>
      <c r="B349" s="1922"/>
      <c r="C349" s="3141" t="s">
        <v>990</v>
      </c>
      <c r="D349" s="3140" t="s">
        <v>989</v>
      </c>
      <c r="E349" s="3356">
        <v>0</v>
      </c>
      <c r="F349" s="3356"/>
      <c r="G349" s="2870"/>
      <c r="H349" s="3111" t="e">
        <f t="shared" si="20"/>
        <v>#DIV/0!</v>
      </c>
      <c r="J349" s="1702"/>
    </row>
    <row r="350" spans="1:10" s="1906" customFormat="1" ht="17.100000000000001" customHeight="1">
      <c r="A350" s="1923"/>
      <c r="B350" s="1922"/>
      <c r="C350" s="3141" t="s">
        <v>988</v>
      </c>
      <c r="D350" s="3140" t="s">
        <v>987</v>
      </c>
      <c r="E350" s="3356">
        <v>1094000</v>
      </c>
      <c r="F350" s="3356">
        <v>1004000</v>
      </c>
      <c r="G350" s="2870">
        <v>1090000</v>
      </c>
      <c r="H350" s="3111">
        <f t="shared" si="20"/>
        <v>1.0856573705179282</v>
      </c>
      <c r="J350" s="1702"/>
    </row>
    <row r="351" spans="1:10" s="1906" customFormat="1" ht="17.100000000000001" hidden="1" customHeight="1">
      <c r="A351" s="1923"/>
      <c r="B351" s="1922"/>
      <c r="C351" s="3141" t="s">
        <v>986</v>
      </c>
      <c r="D351" s="3140" t="s">
        <v>985</v>
      </c>
      <c r="E351" s="3356">
        <v>0</v>
      </c>
      <c r="F351" s="3356"/>
      <c r="G351" s="2870"/>
      <c r="H351" s="3111" t="e">
        <f t="shared" si="20"/>
        <v>#DIV/0!</v>
      </c>
      <c r="J351" s="1702"/>
    </row>
    <row r="352" spans="1:10" s="1906" customFormat="1" ht="17.100000000000001" customHeight="1">
      <c r="A352" s="1923"/>
      <c r="B352" s="1922"/>
      <c r="C352" s="3141" t="s">
        <v>984</v>
      </c>
      <c r="D352" s="3140" t="s">
        <v>983</v>
      </c>
      <c r="E352" s="3356">
        <v>2000</v>
      </c>
      <c r="F352" s="3356">
        <v>127000</v>
      </c>
      <c r="G352" s="2870">
        <v>167000</v>
      </c>
      <c r="H352" s="3111">
        <f t="shared" si="20"/>
        <v>1.3149606299212599</v>
      </c>
      <c r="J352" s="1702"/>
    </row>
    <row r="353" spans="1:10" s="1906" customFormat="1" ht="28.5" customHeight="1">
      <c r="A353" s="1923"/>
      <c r="B353" s="1922"/>
      <c r="C353" s="3141" t="s">
        <v>1330</v>
      </c>
      <c r="D353" s="3140" t="s">
        <v>1329</v>
      </c>
      <c r="E353" s="3356">
        <v>2000</v>
      </c>
      <c r="F353" s="3356">
        <v>6140</v>
      </c>
      <c r="G353" s="2870">
        <v>9000</v>
      </c>
      <c r="H353" s="3111">
        <f t="shared" si="20"/>
        <v>1.4657980456026058</v>
      </c>
      <c r="J353" s="1702"/>
    </row>
    <row r="354" spans="1:10" s="1906" customFormat="1" ht="17.100000000000001" customHeight="1">
      <c r="A354" s="1923"/>
      <c r="B354" s="1922"/>
      <c r="C354" s="3141" t="s">
        <v>1229</v>
      </c>
      <c r="D354" s="3140" t="s">
        <v>1228</v>
      </c>
      <c r="E354" s="3356">
        <v>0</v>
      </c>
      <c r="F354" s="3356">
        <v>300</v>
      </c>
      <c r="G354" s="2870">
        <v>300</v>
      </c>
      <c r="H354" s="3111">
        <f t="shared" si="20"/>
        <v>1</v>
      </c>
      <c r="J354" s="1702"/>
    </row>
    <row r="355" spans="1:10" s="1906" customFormat="1" ht="17.100000000000001" customHeight="1">
      <c r="A355" s="1923"/>
      <c r="B355" s="1922"/>
      <c r="C355" s="3141" t="s">
        <v>1089</v>
      </c>
      <c r="D355" s="3140" t="s">
        <v>1092</v>
      </c>
      <c r="E355" s="3356">
        <v>70000</v>
      </c>
      <c r="F355" s="3356">
        <v>166550</v>
      </c>
      <c r="G355" s="2870">
        <v>193000</v>
      </c>
      <c r="H355" s="3111">
        <f t="shared" si="20"/>
        <v>1.1588111678174722</v>
      </c>
      <c r="J355" s="1702"/>
    </row>
    <row r="356" spans="1:10" s="1906" customFormat="1" ht="17.100000000000001" hidden="1" customHeight="1">
      <c r="A356" s="1923"/>
      <c r="B356" s="1922"/>
      <c r="C356" s="3141" t="s">
        <v>1239</v>
      </c>
      <c r="D356" s="3140" t="s">
        <v>1238</v>
      </c>
      <c r="E356" s="3356">
        <v>0</v>
      </c>
      <c r="F356" s="3356">
        <v>127797</v>
      </c>
      <c r="G356" s="2870">
        <v>0</v>
      </c>
      <c r="H356" s="3111">
        <f t="shared" si="20"/>
        <v>0</v>
      </c>
      <c r="J356" s="1702"/>
    </row>
    <row r="357" spans="1:10" s="1906" customFormat="1" ht="17.100000000000001" customHeight="1">
      <c r="A357" s="1923"/>
      <c r="B357" s="1922"/>
      <c r="C357" s="3141" t="s">
        <v>1367</v>
      </c>
      <c r="D357" s="3140" t="s">
        <v>1366</v>
      </c>
      <c r="E357" s="3356">
        <v>10000</v>
      </c>
      <c r="F357" s="3356">
        <v>42000</v>
      </c>
      <c r="G357" s="2870">
        <v>35000</v>
      </c>
      <c r="H357" s="3111">
        <f t="shared" si="20"/>
        <v>0.83333333333333337</v>
      </c>
      <c r="J357" s="1702"/>
    </row>
    <row r="358" spans="1:10" s="1906" customFormat="1" ht="24.75" hidden="1" customHeight="1">
      <c r="A358" s="1923"/>
      <c r="B358" s="1922"/>
      <c r="C358" s="3141" t="s">
        <v>1365</v>
      </c>
      <c r="D358" s="3140" t="s">
        <v>1364</v>
      </c>
      <c r="E358" s="3356">
        <v>0</v>
      </c>
      <c r="F358" s="3356"/>
      <c r="G358" s="2870"/>
      <c r="H358" s="3111" t="e">
        <f t="shared" si="20"/>
        <v>#DIV/0!</v>
      </c>
      <c r="J358" s="1702"/>
    </row>
    <row r="359" spans="1:10" s="1906" customFormat="1" ht="17.100000000000001" customHeight="1">
      <c r="A359" s="1923"/>
      <c r="B359" s="1922"/>
      <c r="C359" s="3141" t="s">
        <v>1122</v>
      </c>
      <c r="D359" s="3140" t="s">
        <v>1118</v>
      </c>
      <c r="E359" s="3356">
        <v>20240</v>
      </c>
      <c r="F359" s="3356">
        <v>159420</v>
      </c>
      <c r="G359" s="2870">
        <v>30000</v>
      </c>
      <c r="H359" s="3111">
        <f t="shared" si="20"/>
        <v>0.18818216033120061</v>
      </c>
      <c r="J359" s="1702"/>
    </row>
    <row r="360" spans="1:10" s="1906" customFormat="1" ht="19.5" hidden="1" customHeight="1">
      <c r="A360" s="1923"/>
      <c r="B360" s="1922"/>
      <c r="C360" s="3141" t="s">
        <v>982</v>
      </c>
      <c r="D360" s="3140" t="s">
        <v>981</v>
      </c>
      <c r="E360" s="3356">
        <v>0</v>
      </c>
      <c r="F360" s="3356"/>
      <c r="G360" s="2870"/>
      <c r="H360" s="3111" t="e">
        <f t="shared" si="20"/>
        <v>#DIV/0!</v>
      </c>
      <c r="J360" s="1702"/>
    </row>
    <row r="361" spans="1:10" s="1906" customFormat="1" ht="17.100000000000001" hidden="1" customHeight="1">
      <c r="A361" s="1923"/>
      <c r="B361" s="1922"/>
      <c r="C361" s="1996"/>
      <c r="D361" s="1996"/>
      <c r="E361" s="1995"/>
      <c r="F361" s="3356"/>
      <c r="G361" s="2870"/>
      <c r="H361" s="3111" t="e">
        <f t="shared" si="20"/>
        <v>#DIV/0!</v>
      </c>
      <c r="J361" s="1702"/>
    </row>
    <row r="362" spans="1:10" s="1906" customFormat="1" ht="17.100000000000001" hidden="1" customHeight="1">
      <c r="A362" s="1923"/>
      <c r="B362" s="1922"/>
      <c r="C362" s="4610" t="s">
        <v>952</v>
      </c>
      <c r="D362" s="4610"/>
      <c r="E362" s="3356">
        <v>0</v>
      </c>
      <c r="F362" s="3356"/>
      <c r="G362" s="2870"/>
      <c r="H362" s="3111" t="e">
        <f t="shared" si="20"/>
        <v>#DIV/0!</v>
      </c>
      <c r="J362" s="1702"/>
    </row>
    <row r="363" spans="1:10" s="1906" customFormat="1" ht="17.100000000000001" hidden="1" customHeight="1">
      <c r="A363" s="1923"/>
      <c r="B363" s="1922"/>
      <c r="C363" s="3424" t="s">
        <v>980</v>
      </c>
      <c r="D363" s="3444" t="s">
        <v>979</v>
      </c>
      <c r="E363" s="3108">
        <v>0</v>
      </c>
      <c r="F363" s="3356"/>
      <c r="G363" s="2870"/>
      <c r="H363" s="3111" t="e">
        <f t="shared" si="20"/>
        <v>#DIV/0!</v>
      </c>
      <c r="J363" s="1702"/>
    </row>
    <row r="364" spans="1:10" s="1906" customFormat="1" ht="17.100000000000001" customHeight="1">
      <c r="A364" s="1923"/>
      <c r="B364" s="1922"/>
      <c r="C364" s="3440"/>
      <c r="D364" s="3443"/>
      <c r="E364" s="3440"/>
      <c r="F364" s="3356"/>
      <c r="G364" s="2870"/>
      <c r="H364" s="3111"/>
      <c r="J364" s="1702"/>
    </row>
    <row r="365" spans="1:10" s="1906" customFormat="1" ht="17.100000000000001" hidden="1" customHeight="1">
      <c r="A365" s="1923"/>
      <c r="B365" s="1922"/>
      <c r="C365" s="4611" t="s">
        <v>976</v>
      </c>
      <c r="D365" s="4612"/>
      <c r="E365" s="3441">
        <v>0</v>
      </c>
      <c r="F365" s="3356"/>
      <c r="G365" s="2870"/>
      <c r="H365" s="3111" t="e">
        <f t="shared" ref="H365:H377" si="21">G365/F365</f>
        <v>#DIV/0!</v>
      </c>
      <c r="J365" s="1702"/>
    </row>
    <row r="366" spans="1:10" s="1906" customFormat="1" ht="57.75" hidden="1" customHeight="1">
      <c r="A366" s="1923"/>
      <c r="B366" s="1922"/>
      <c r="C366" s="3098" t="s">
        <v>488</v>
      </c>
      <c r="D366" s="3442" t="s">
        <v>1137</v>
      </c>
      <c r="E366" s="3441">
        <v>0</v>
      </c>
      <c r="F366" s="3356"/>
      <c r="G366" s="2870"/>
      <c r="H366" s="3111" t="e">
        <f t="shared" si="21"/>
        <v>#DIV/0!</v>
      </c>
      <c r="J366" s="1702"/>
    </row>
    <row r="367" spans="1:10" s="1906" customFormat="1" ht="17.100000000000001" hidden="1" customHeight="1">
      <c r="A367" s="1923"/>
      <c r="B367" s="1922"/>
      <c r="C367" s="3440"/>
      <c r="D367" s="3439"/>
      <c r="E367" s="3438"/>
      <c r="F367" s="3356"/>
      <c r="G367" s="2870"/>
      <c r="H367" s="3111" t="e">
        <f t="shared" si="21"/>
        <v>#DIV/0!</v>
      </c>
      <c r="J367" s="1702"/>
    </row>
    <row r="368" spans="1:10" s="1906" customFormat="1" ht="17.100000000000001" customHeight="1">
      <c r="A368" s="1923"/>
      <c r="B368" s="1922"/>
      <c r="C368" s="4613" t="s">
        <v>941</v>
      </c>
      <c r="D368" s="4613"/>
      <c r="E368" s="2509">
        <f>SUM(E369)</f>
        <v>393749310</v>
      </c>
      <c r="F368" s="2509">
        <f>SUM(F369)</f>
        <v>367111132</v>
      </c>
      <c r="G368" s="1964">
        <f>SUM(G369)</f>
        <v>426821160</v>
      </c>
      <c r="H368" s="3157">
        <f t="shared" si="21"/>
        <v>1.1626483721011216</v>
      </c>
      <c r="J368" s="1702"/>
    </row>
    <row r="369" spans="1:10" s="1906" customFormat="1" ht="17.100000000000001" customHeight="1">
      <c r="A369" s="1923"/>
      <c r="B369" s="1922"/>
      <c r="C369" s="4507" t="s">
        <v>1126</v>
      </c>
      <c r="D369" s="4507"/>
      <c r="E369" s="3356">
        <f>SUM(E370:E382)</f>
        <v>393749310</v>
      </c>
      <c r="F369" s="3356">
        <f>SUM(F370:F382)</f>
        <v>367111132</v>
      </c>
      <c r="G369" s="2870">
        <f>SUM(G370:G382)</f>
        <v>426821160</v>
      </c>
      <c r="H369" s="3111">
        <f t="shared" si="21"/>
        <v>1.1626483721011216</v>
      </c>
      <c r="J369" s="1702"/>
    </row>
    <row r="370" spans="1:10" s="1906" customFormat="1" ht="17.100000000000001" customHeight="1">
      <c r="A370" s="1923"/>
      <c r="B370" s="1922"/>
      <c r="C370" s="3154" t="s">
        <v>546</v>
      </c>
      <c r="D370" s="3153" t="s">
        <v>1023</v>
      </c>
      <c r="E370" s="3356">
        <v>146266358</v>
      </c>
      <c r="F370" s="3356">
        <v>123755366</v>
      </c>
      <c r="G370" s="2870">
        <v>285851163</v>
      </c>
      <c r="H370" s="3111">
        <f t="shared" si="21"/>
        <v>2.3098082308608743</v>
      </c>
      <c r="J370" s="1702"/>
    </row>
    <row r="371" spans="1:10" s="1906" customFormat="1" ht="17.100000000000001" customHeight="1">
      <c r="A371" s="1922"/>
      <c r="B371" s="1922"/>
      <c r="C371" s="3426" t="s">
        <v>506</v>
      </c>
      <c r="D371" s="3425" t="s">
        <v>1023</v>
      </c>
      <c r="E371" s="2496">
        <v>171200556</v>
      </c>
      <c r="F371" s="2496">
        <v>153875276</v>
      </c>
      <c r="G371" s="1929">
        <v>84997854</v>
      </c>
      <c r="H371" s="3433">
        <f t="shared" si="21"/>
        <v>0.5523814884985162</v>
      </c>
      <c r="J371" s="1702"/>
    </row>
    <row r="372" spans="1:10" s="1906" customFormat="1" ht="17.100000000000001" hidden="1" customHeight="1">
      <c r="A372" s="1923"/>
      <c r="B372" s="1922"/>
      <c r="C372" s="3141" t="s">
        <v>625</v>
      </c>
      <c r="D372" s="3140" t="s">
        <v>1023</v>
      </c>
      <c r="E372" s="3356">
        <v>0</v>
      </c>
      <c r="F372" s="3356">
        <v>881654</v>
      </c>
      <c r="G372" s="2870">
        <v>0</v>
      </c>
      <c r="H372" s="3111">
        <f t="shared" si="21"/>
        <v>0</v>
      </c>
      <c r="J372" s="1702"/>
    </row>
    <row r="373" spans="1:10" s="1906" customFormat="1" ht="17.100000000000001" customHeight="1">
      <c r="A373" s="1923"/>
      <c r="B373" s="1922"/>
      <c r="C373" s="3141" t="s">
        <v>505</v>
      </c>
      <c r="D373" s="3140" t="s">
        <v>1023</v>
      </c>
      <c r="E373" s="3356">
        <v>59987396</v>
      </c>
      <c r="F373" s="3356">
        <v>27244914</v>
      </c>
      <c r="G373" s="2870">
        <v>14999623</v>
      </c>
      <c r="H373" s="3111">
        <f t="shared" si="21"/>
        <v>0.55054763615697222</v>
      </c>
      <c r="J373" s="1702"/>
    </row>
    <row r="374" spans="1:10" s="1906" customFormat="1" ht="17.100000000000001" customHeight="1">
      <c r="A374" s="1923"/>
      <c r="B374" s="1922"/>
      <c r="C374" s="3141" t="s">
        <v>553</v>
      </c>
      <c r="D374" s="3140" t="s">
        <v>1072</v>
      </c>
      <c r="E374" s="3356">
        <v>7045000</v>
      </c>
      <c r="F374" s="3356">
        <v>38817175</v>
      </c>
      <c r="G374" s="2870">
        <v>21380000</v>
      </c>
      <c r="H374" s="3111">
        <f t="shared" si="21"/>
        <v>0.55078711936146818</v>
      </c>
      <c r="J374" s="1702"/>
    </row>
    <row r="375" spans="1:10" s="1906" customFormat="1" ht="17.100000000000001" hidden="1" customHeight="1">
      <c r="A375" s="1923"/>
      <c r="B375" s="1922"/>
      <c r="C375" s="3141" t="s">
        <v>504</v>
      </c>
      <c r="D375" s="3140" t="s">
        <v>1072</v>
      </c>
      <c r="E375" s="3356">
        <v>7650000</v>
      </c>
      <c r="F375" s="3356">
        <v>7317316</v>
      </c>
      <c r="G375" s="2870">
        <v>0</v>
      </c>
      <c r="H375" s="3111">
        <f t="shared" si="21"/>
        <v>0</v>
      </c>
      <c r="J375" s="1702"/>
    </row>
    <row r="376" spans="1:10" s="1906" customFormat="1" ht="17.100000000000001" hidden="1" customHeight="1">
      <c r="A376" s="1923"/>
      <c r="B376" s="1922"/>
      <c r="C376" s="3141" t="s">
        <v>500</v>
      </c>
      <c r="D376" s="3140" t="s">
        <v>1072</v>
      </c>
      <c r="E376" s="3356">
        <v>0</v>
      </c>
      <c r="F376" s="3356"/>
      <c r="G376" s="2870"/>
      <c r="H376" s="3111" t="e">
        <f t="shared" si="21"/>
        <v>#DIV/0!</v>
      </c>
      <c r="J376" s="1702"/>
    </row>
    <row r="377" spans="1:10" s="1906" customFormat="1" ht="17.100000000000001" hidden="1" customHeight="1">
      <c r="A377" s="1923"/>
      <c r="B377" s="1922"/>
      <c r="C377" s="3141" t="s">
        <v>569</v>
      </c>
      <c r="D377" s="3112" t="s">
        <v>1072</v>
      </c>
      <c r="E377" s="3356">
        <v>1350000</v>
      </c>
      <c r="F377" s="3356">
        <v>1291292</v>
      </c>
      <c r="G377" s="2870">
        <v>0</v>
      </c>
      <c r="H377" s="3111">
        <f t="shared" si="21"/>
        <v>0</v>
      </c>
      <c r="J377" s="1702"/>
    </row>
    <row r="378" spans="1:10" s="1906" customFormat="1" ht="30" customHeight="1">
      <c r="A378" s="1923"/>
      <c r="B378" s="1922"/>
      <c r="C378" s="3437" t="s">
        <v>1191</v>
      </c>
      <c r="D378" s="3436" t="s">
        <v>1190</v>
      </c>
      <c r="E378" s="3356"/>
      <c r="F378" s="3356">
        <v>0</v>
      </c>
      <c r="G378" s="2870">
        <v>615000</v>
      </c>
      <c r="H378" s="3111"/>
      <c r="J378" s="1702"/>
    </row>
    <row r="379" spans="1:10" s="1906" customFormat="1" ht="51" hidden="1">
      <c r="A379" s="1922"/>
      <c r="B379" s="1922"/>
      <c r="C379" s="3114" t="s">
        <v>119</v>
      </c>
      <c r="D379" s="3435" t="s">
        <v>1136</v>
      </c>
      <c r="E379" s="3356">
        <v>0</v>
      </c>
      <c r="F379" s="3356">
        <v>12374464</v>
      </c>
      <c r="G379" s="2870">
        <v>0</v>
      </c>
      <c r="H379" s="3111">
        <f>G379/F379</f>
        <v>0</v>
      </c>
      <c r="J379" s="1702"/>
    </row>
    <row r="380" spans="1:10" s="1906" customFormat="1" ht="31.5" customHeight="1">
      <c r="A380" s="1923"/>
      <c r="B380" s="1922"/>
      <c r="C380" s="3087" t="s">
        <v>1395</v>
      </c>
      <c r="D380" s="3422" t="s">
        <v>1394</v>
      </c>
      <c r="E380" s="2496"/>
      <c r="F380" s="2496">
        <v>0</v>
      </c>
      <c r="G380" s="1929">
        <v>16000000</v>
      </c>
      <c r="H380" s="3433"/>
      <c r="J380" s="1702"/>
    </row>
    <row r="381" spans="1:10" s="1906" customFormat="1" ht="39.75" customHeight="1">
      <c r="A381" s="1923"/>
      <c r="B381" s="1922"/>
      <c r="C381" s="3098" t="s">
        <v>1393</v>
      </c>
      <c r="D381" s="3434" t="s">
        <v>1392</v>
      </c>
      <c r="E381" s="3356">
        <v>250000</v>
      </c>
      <c r="F381" s="3356">
        <v>928675</v>
      </c>
      <c r="G381" s="2870">
        <v>2977520</v>
      </c>
      <c r="H381" s="3433">
        <f>G381/F381</f>
        <v>3.206202385118583</v>
      </c>
      <c r="J381" s="1702"/>
    </row>
    <row r="382" spans="1:10" s="1906" customFormat="1" ht="42" hidden="1" customHeight="1">
      <c r="A382" s="1923"/>
      <c r="B382" s="1922"/>
      <c r="C382" s="3087" t="s">
        <v>1391</v>
      </c>
      <c r="D382" s="3357" t="s">
        <v>1390</v>
      </c>
      <c r="E382" s="3356">
        <v>0</v>
      </c>
      <c r="F382" s="3356">
        <v>625000</v>
      </c>
      <c r="G382" s="2870">
        <v>0</v>
      </c>
      <c r="H382" s="3111">
        <f>G382/F382</f>
        <v>0</v>
      </c>
      <c r="J382" s="1702"/>
    </row>
    <row r="383" spans="1:10" s="1906" customFormat="1" ht="51" hidden="1">
      <c r="A383" s="1923"/>
      <c r="B383" s="1922"/>
      <c r="C383" s="3087" t="s">
        <v>1322</v>
      </c>
      <c r="D383" s="2491" t="s">
        <v>1135</v>
      </c>
      <c r="E383" s="3356">
        <v>0</v>
      </c>
      <c r="F383" s="3356"/>
      <c r="G383" s="2870"/>
      <c r="H383" s="3111" t="e">
        <f>G383/F383</f>
        <v>#DIV/0!</v>
      </c>
      <c r="J383" s="1702"/>
    </row>
    <row r="384" spans="1:10" s="1906" customFormat="1" ht="51" hidden="1">
      <c r="A384" s="1923"/>
      <c r="B384" s="1922"/>
      <c r="C384" s="3114" t="s">
        <v>302</v>
      </c>
      <c r="D384" s="2491" t="s">
        <v>1135</v>
      </c>
      <c r="E384" s="3356">
        <v>0</v>
      </c>
      <c r="F384" s="3356"/>
      <c r="G384" s="2870"/>
      <c r="H384" s="3111" t="e">
        <f>G384/F384</f>
        <v>#DIV/0!</v>
      </c>
      <c r="J384" s="1702"/>
    </row>
    <row r="385" spans="1:10" s="1906" customFormat="1" ht="16.5" customHeight="1" thickBot="1">
      <c r="A385" s="1913"/>
      <c r="B385" s="1912"/>
      <c r="C385" s="3432"/>
      <c r="D385" s="3431"/>
      <c r="E385" s="3430"/>
      <c r="F385" s="2857"/>
      <c r="G385" s="1915"/>
      <c r="H385" s="2856"/>
      <c r="J385" s="1702"/>
    </row>
    <row r="386" spans="1:10" s="1906" customFormat="1" ht="16.5" customHeight="1">
      <c r="A386" s="2321"/>
      <c r="B386" s="2321"/>
      <c r="C386" s="4614" t="s">
        <v>1024</v>
      </c>
      <c r="D386" s="4615"/>
      <c r="E386" s="3429">
        <f>SUM(E387:E395)</f>
        <v>254949539</v>
      </c>
      <c r="F386" s="3428">
        <f>SUM(F387:F395)</f>
        <v>250600272</v>
      </c>
      <c r="G386" s="3427">
        <f>SUM(G387:G395)</f>
        <v>132806672</v>
      </c>
      <c r="H386" s="3187">
        <f t="shared" ref="H386:H392" si="22">G386/F386</f>
        <v>0.52995422127873826</v>
      </c>
      <c r="J386" s="1702"/>
    </row>
    <row r="387" spans="1:10" s="1906" customFormat="1" ht="17.100000000000001" customHeight="1">
      <c r="A387" s="1923"/>
      <c r="B387" s="1922"/>
      <c r="C387" s="3156" t="s">
        <v>546</v>
      </c>
      <c r="D387" s="3155" t="s">
        <v>1023</v>
      </c>
      <c r="E387" s="3356">
        <v>13761587</v>
      </c>
      <c r="F387" s="3423">
        <f>27329490+902848+200000+8110843</f>
        <v>36543181</v>
      </c>
      <c r="G387" s="3152">
        <v>32809195</v>
      </c>
      <c r="H387" s="3111">
        <f t="shared" si="22"/>
        <v>0.8978198969597091</v>
      </c>
      <c r="J387" s="1702"/>
    </row>
    <row r="388" spans="1:10" s="1906" customFormat="1" ht="17.100000000000001" customHeight="1">
      <c r="A388" s="1923"/>
      <c r="B388" s="1922"/>
      <c r="C388" s="3156" t="s">
        <v>506</v>
      </c>
      <c r="D388" s="3155" t="s">
        <v>1023</v>
      </c>
      <c r="E388" s="3356">
        <v>171200556</v>
      </c>
      <c r="F388" s="3423">
        <v>153875276</v>
      </c>
      <c r="G388" s="3152">
        <v>84997854</v>
      </c>
      <c r="H388" s="3111">
        <f t="shared" si="22"/>
        <v>0.5523814884985162</v>
      </c>
      <c r="J388" s="1702"/>
    </row>
    <row r="389" spans="1:10" s="1906" customFormat="1" ht="17.100000000000001" hidden="1" customHeight="1">
      <c r="A389" s="1923"/>
      <c r="B389" s="1922"/>
      <c r="C389" s="3156" t="s">
        <v>625</v>
      </c>
      <c r="D389" s="3155" t="s">
        <v>1023</v>
      </c>
      <c r="E389" s="3356">
        <v>0</v>
      </c>
      <c r="F389" s="3423">
        <f>11720+105534+764400</f>
        <v>881654</v>
      </c>
      <c r="G389" s="3152">
        <v>0</v>
      </c>
      <c r="H389" s="3111">
        <f t="shared" si="22"/>
        <v>0</v>
      </c>
      <c r="J389" s="1702"/>
    </row>
    <row r="390" spans="1:10" s="1906" customFormat="1" ht="17.100000000000001" customHeight="1" thickBot="1">
      <c r="A390" s="1923"/>
      <c r="B390" s="1922"/>
      <c r="C390" s="3141" t="s">
        <v>505</v>
      </c>
      <c r="D390" s="3140" t="s">
        <v>1023</v>
      </c>
      <c r="E390" s="3356">
        <v>59987396</v>
      </c>
      <c r="F390" s="3423">
        <f>23036145+4118319+2069+3447+84934</f>
        <v>27244914</v>
      </c>
      <c r="G390" s="3152">
        <v>14999623</v>
      </c>
      <c r="H390" s="3111">
        <f t="shared" si="22"/>
        <v>0.55054763615697222</v>
      </c>
      <c r="J390" s="1702"/>
    </row>
    <row r="391" spans="1:10" s="1906" customFormat="1" ht="17.100000000000001" hidden="1" customHeight="1">
      <c r="A391" s="1923"/>
      <c r="B391" s="1922"/>
      <c r="C391" s="3154" t="s">
        <v>553</v>
      </c>
      <c r="D391" s="3153" t="s">
        <v>1072</v>
      </c>
      <c r="E391" s="3356">
        <v>1000000</v>
      </c>
      <c r="F391" s="3423">
        <v>11072175</v>
      </c>
      <c r="G391" s="3152">
        <v>0</v>
      </c>
      <c r="H391" s="3111">
        <f t="shared" si="22"/>
        <v>0</v>
      </c>
      <c r="J391" s="1702"/>
    </row>
    <row r="392" spans="1:10" s="1906" customFormat="1" ht="17.100000000000001" hidden="1" customHeight="1">
      <c r="A392" s="1923"/>
      <c r="B392" s="1922"/>
      <c r="C392" s="3426" t="s">
        <v>504</v>
      </c>
      <c r="D392" s="3425" t="s">
        <v>1072</v>
      </c>
      <c r="E392" s="3356">
        <v>7650000</v>
      </c>
      <c r="F392" s="3423">
        <v>7317316</v>
      </c>
      <c r="G392" s="3152">
        <v>0</v>
      </c>
      <c r="H392" s="3111">
        <f t="shared" si="22"/>
        <v>0</v>
      </c>
      <c r="J392" s="1702"/>
    </row>
    <row r="393" spans="1:10" s="1906" customFormat="1" ht="17.100000000000001" hidden="1" customHeight="1">
      <c r="A393" s="1923"/>
      <c r="B393" s="1922"/>
      <c r="C393" s="3424" t="s">
        <v>500</v>
      </c>
      <c r="D393" s="3140" t="s">
        <v>1072</v>
      </c>
      <c r="E393" s="3356">
        <v>0</v>
      </c>
      <c r="F393" s="3423"/>
      <c r="G393" s="3152"/>
      <c r="H393" s="3111"/>
      <c r="J393" s="1702"/>
    </row>
    <row r="394" spans="1:10" s="1906" customFormat="1" ht="17.100000000000001" hidden="1" customHeight="1">
      <c r="A394" s="1923"/>
      <c r="B394" s="1922"/>
      <c r="C394" s="3154" t="s">
        <v>569</v>
      </c>
      <c r="D394" s="3153" t="s">
        <v>1072</v>
      </c>
      <c r="E394" s="3356">
        <v>1350000</v>
      </c>
      <c r="F394" s="3423">
        <v>1291292</v>
      </c>
      <c r="G394" s="3152">
        <v>0</v>
      </c>
      <c r="H394" s="3111">
        <f t="shared" ref="H394:H401" si="23">G394/F394</f>
        <v>0</v>
      </c>
      <c r="J394" s="1702"/>
    </row>
    <row r="395" spans="1:10" s="1906" customFormat="1" ht="63" hidden="1" customHeight="1" thickBot="1">
      <c r="A395" s="1922"/>
      <c r="B395" s="1922"/>
      <c r="C395" s="3087" t="s">
        <v>119</v>
      </c>
      <c r="D395" s="3422" t="s">
        <v>1136</v>
      </c>
      <c r="E395" s="2496">
        <v>0</v>
      </c>
      <c r="F395" s="3421">
        <v>12374464</v>
      </c>
      <c r="G395" s="3152">
        <v>0</v>
      </c>
      <c r="H395" s="3111">
        <f t="shared" si="23"/>
        <v>0</v>
      </c>
      <c r="J395" s="1702"/>
    </row>
    <row r="396" spans="1:10" ht="51.75" hidden="1" customHeight="1" thickBot="1">
      <c r="A396" s="1836"/>
      <c r="B396" s="1822"/>
      <c r="C396" s="2949" t="s">
        <v>1322</v>
      </c>
      <c r="D396" s="3419" t="s">
        <v>1135</v>
      </c>
      <c r="E396" s="3404">
        <v>0</v>
      </c>
      <c r="F396" s="2526"/>
      <c r="G396" s="2681"/>
      <c r="H396" s="3117" t="e">
        <f t="shared" si="23"/>
        <v>#DIV/0!</v>
      </c>
    </row>
    <row r="397" spans="1:10" ht="56.25" hidden="1" customHeight="1" thickBot="1">
      <c r="A397" s="1836"/>
      <c r="B397" s="1822"/>
      <c r="C397" s="3420" t="s">
        <v>302</v>
      </c>
      <c r="D397" s="3419" t="s">
        <v>1135</v>
      </c>
      <c r="E397" s="3404">
        <v>0</v>
      </c>
      <c r="F397" s="3404"/>
      <c r="G397" s="2681"/>
      <c r="H397" s="3148" t="e">
        <f t="shared" si="23"/>
        <v>#DIV/0!</v>
      </c>
    </row>
    <row r="398" spans="1:10" ht="15" customHeight="1" thickBot="1">
      <c r="A398" s="1836"/>
      <c r="B398" s="1768" t="s">
        <v>867</v>
      </c>
      <c r="C398" s="1839"/>
      <c r="D398" s="1838" t="s">
        <v>1389</v>
      </c>
      <c r="E398" s="1818">
        <f>SUM(E399,E403)</f>
        <v>1315716</v>
      </c>
      <c r="F398" s="1818">
        <f>SUM(F399,F403)</f>
        <v>4407003</v>
      </c>
      <c r="G398" s="1817">
        <f>SUM(G399,G403)</f>
        <v>1060926</v>
      </c>
      <c r="H398" s="1763">
        <f t="shared" si="23"/>
        <v>0.24073639160218407</v>
      </c>
    </row>
    <row r="399" spans="1:10" ht="15" hidden="1" customHeight="1">
      <c r="A399" s="1836"/>
      <c r="B399" s="3418"/>
      <c r="C399" s="4599" t="s">
        <v>944</v>
      </c>
      <c r="D399" s="4599"/>
      <c r="E399" s="3347">
        <f t="shared" ref="E399:G400" si="24">SUM(E400)</f>
        <v>0</v>
      </c>
      <c r="F399" s="3347">
        <f t="shared" si="24"/>
        <v>50000</v>
      </c>
      <c r="G399" s="3398">
        <f t="shared" si="24"/>
        <v>0</v>
      </c>
      <c r="H399" s="2809">
        <f t="shared" si="23"/>
        <v>0</v>
      </c>
    </row>
    <row r="400" spans="1:10" ht="15" hidden="1" customHeight="1">
      <c r="A400" s="1836"/>
      <c r="B400" s="2205"/>
      <c r="C400" s="4522" t="s">
        <v>943</v>
      </c>
      <c r="D400" s="4522"/>
      <c r="E400" s="3330">
        <f t="shared" si="24"/>
        <v>0</v>
      </c>
      <c r="F400" s="3330">
        <f t="shared" si="24"/>
        <v>50000</v>
      </c>
      <c r="G400" s="3346">
        <f t="shared" si="24"/>
        <v>0</v>
      </c>
      <c r="H400" s="3184">
        <f t="shared" si="23"/>
        <v>0</v>
      </c>
    </row>
    <row r="401" spans="1:143" ht="40.5" hidden="1" customHeight="1">
      <c r="A401" s="1836"/>
      <c r="B401" s="2205"/>
      <c r="C401" s="3234" t="s">
        <v>91</v>
      </c>
      <c r="D401" s="3235" t="s">
        <v>955</v>
      </c>
      <c r="E401" s="3330">
        <v>0</v>
      </c>
      <c r="F401" s="3285">
        <v>50000</v>
      </c>
      <c r="G401" s="2686">
        <v>0</v>
      </c>
      <c r="H401" s="3184">
        <f t="shared" si="23"/>
        <v>0</v>
      </c>
    </row>
    <row r="402" spans="1:143" ht="16.5" hidden="1" customHeight="1">
      <c r="A402" s="1836"/>
      <c r="B402" s="2200"/>
      <c r="C402" s="3417"/>
      <c r="D402" s="3416"/>
      <c r="E402" s="3415"/>
      <c r="F402" s="3404"/>
      <c r="G402" s="2681"/>
      <c r="H402" s="3117"/>
    </row>
    <row r="403" spans="1:143" ht="18" customHeight="1">
      <c r="A403" s="1836"/>
      <c r="B403" s="1836"/>
      <c r="C403" s="4600" t="s">
        <v>941</v>
      </c>
      <c r="D403" s="4601"/>
      <c r="E403" s="2538">
        <f t="shared" ref="E403:G404" si="25">SUM(E404)</f>
        <v>1315716</v>
      </c>
      <c r="F403" s="2538">
        <f t="shared" si="25"/>
        <v>4357003</v>
      </c>
      <c r="G403" s="1761">
        <f t="shared" si="25"/>
        <v>1060926</v>
      </c>
      <c r="H403" s="3216">
        <f t="shared" ref="H403:H417" si="26">G403/F403</f>
        <v>0.24349902903440737</v>
      </c>
    </row>
    <row r="404" spans="1:143" ht="16.5" customHeight="1">
      <c r="A404" s="1836"/>
      <c r="B404" s="1836"/>
      <c r="C404" s="4550" t="s">
        <v>940</v>
      </c>
      <c r="D404" s="4556"/>
      <c r="E404" s="3285">
        <f t="shared" si="25"/>
        <v>1315716</v>
      </c>
      <c r="F404" s="3285">
        <f t="shared" si="25"/>
        <v>4357003</v>
      </c>
      <c r="G404" s="2686">
        <f t="shared" si="25"/>
        <v>1060926</v>
      </c>
      <c r="H404" s="3184">
        <f t="shared" si="26"/>
        <v>0.24349902903440737</v>
      </c>
    </row>
    <row r="405" spans="1:143" ht="43.5" customHeight="1" thickBot="1">
      <c r="A405" s="1822"/>
      <c r="B405" s="2195"/>
      <c r="C405" s="3220" t="s">
        <v>939</v>
      </c>
      <c r="D405" s="3306" t="s">
        <v>938</v>
      </c>
      <c r="E405" s="2636">
        <v>1315716</v>
      </c>
      <c r="F405" s="2636">
        <v>4357003</v>
      </c>
      <c r="G405" s="1738">
        <v>1060926</v>
      </c>
      <c r="H405" s="2617">
        <f t="shared" si="26"/>
        <v>0.24349902903440737</v>
      </c>
    </row>
    <row r="406" spans="1:143" s="3405" customFormat="1" ht="17.25" hidden="1" customHeight="1" thickBot="1">
      <c r="A406" s="3414"/>
      <c r="B406" s="3413" t="s">
        <v>1388</v>
      </c>
      <c r="C406" s="3412"/>
      <c r="D406" s="3411" t="s">
        <v>1387</v>
      </c>
      <c r="E406" s="2459">
        <v>0</v>
      </c>
      <c r="F406" s="3410"/>
      <c r="G406" s="3409"/>
      <c r="H406" s="3408" t="e">
        <f t="shared" si="26"/>
        <v>#DIV/0!</v>
      </c>
      <c r="I406" s="3406"/>
      <c r="J406" s="3407"/>
      <c r="K406" s="3406"/>
      <c r="L406" s="3406"/>
      <c r="M406" s="3406"/>
      <c r="N406" s="3406"/>
      <c r="O406" s="3406"/>
      <c r="P406" s="3406"/>
      <c r="Q406" s="3406"/>
      <c r="R406" s="3406"/>
      <c r="S406" s="3406"/>
      <c r="T406" s="3406"/>
      <c r="U406" s="3406"/>
      <c r="V406" s="3406"/>
      <c r="W406" s="3406"/>
      <c r="X406" s="3406"/>
      <c r="Y406" s="3406"/>
      <c r="Z406" s="3406"/>
      <c r="AA406" s="3406"/>
      <c r="AB406" s="3406"/>
      <c r="AC406" s="3406"/>
      <c r="AD406" s="3406"/>
      <c r="AE406" s="3406"/>
      <c r="AF406" s="3406"/>
      <c r="AG406" s="3406"/>
      <c r="AH406" s="3406"/>
      <c r="AI406" s="3406"/>
      <c r="AJ406" s="3406"/>
      <c r="AK406" s="3406"/>
      <c r="AL406" s="3406"/>
      <c r="AM406" s="3406"/>
      <c r="AN406" s="3406"/>
      <c r="AO406" s="3406"/>
      <c r="AP406" s="3406"/>
      <c r="AQ406" s="3406"/>
      <c r="AR406" s="3406"/>
      <c r="AS406" s="3406"/>
      <c r="AT406" s="3406"/>
      <c r="AU406" s="3406"/>
      <c r="AV406" s="3406"/>
      <c r="AW406" s="3406"/>
      <c r="AX406" s="3406"/>
      <c r="AY406" s="3406"/>
      <c r="AZ406" s="3406"/>
      <c r="BA406" s="3406"/>
      <c r="BB406" s="3406"/>
      <c r="BC406" s="3406"/>
      <c r="BD406" s="3406"/>
      <c r="BE406" s="3406"/>
      <c r="BF406" s="3406"/>
      <c r="BG406" s="3406"/>
      <c r="BH406" s="3406"/>
      <c r="BI406" s="3406"/>
      <c r="BJ406" s="3406"/>
      <c r="BK406" s="3406"/>
      <c r="BL406" s="3406"/>
      <c r="BM406" s="3406"/>
      <c r="BN406" s="3406"/>
      <c r="BO406" s="3406"/>
      <c r="BP406" s="3406"/>
      <c r="BQ406" s="3406"/>
      <c r="BR406" s="3406"/>
      <c r="BS406" s="3406"/>
      <c r="BT406" s="3406"/>
      <c r="BU406" s="3406"/>
      <c r="BV406" s="3406"/>
      <c r="BW406" s="3406"/>
      <c r="BX406" s="3406"/>
      <c r="BY406" s="3406"/>
      <c r="BZ406" s="3406"/>
      <c r="CA406" s="3406"/>
      <c r="CB406" s="3406"/>
      <c r="CC406" s="3406"/>
      <c r="CD406" s="3406"/>
      <c r="CE406" s="3406"/>
      <c r="CF406" s="3406"/>
      <c r="CG406" s="3406"/>
      <c r="CH406" s="3406"/>
      <c r="CI406" s="3406"/>
      <c r="CJ406" s="3406"/>
      <c r="CK406" s="3406"/>
      <c r="CL406" s="3406"/>
      <c r="CM406" s="3406"/>
      <c r="CN406" s="3406"/>
      <c r="CO406" s="3406"/>
      <c r="CP406" s="3406"/>
      <c r="CQ406" s="3406"/>
      <c r="CR406" s="3406"/>
      <c r="CS406" s="3406"/>
      <c r="CT406" s="3406"/>
      <c r="CU406" s="3406"/>
      <c r="CV406" s="3406"/>
      <c r="CW406" s="3406"/>
      <c r="CX406" s="3406"/>
      <c r="CY406" s="3406"/>
      <c r="CZ406" s="3406"/>
      <c r="DA406" s="3406"/>
      <c r="DB406" s="3406"/>
      <c r="DC406" s="3406"/>
      <c r="DD406" s="3406"/>
      <c r="DE406" s="3406"/>
      <c r="DF406" s="3406"/>
      <c r="DG406" s="3406"/>
      <c r="DH406" s="3406"/>
      <c r="DI406" s="3406"/>
      <c r="DJ406" s="3406"/>
      <c r="DK406" s="3406"/>
      <c r="DL406" s="3406"/>
      <c r="DM406" s="3406"/>
      <c r="DN406" s="3406"/>
      <c r="DO406" s="3406"/>
      <c r="DP406" s="3406"/>
      <c r="DQ406" s="3406"/>
      <c r="DR406" s="3406"/>
      <c r="DS406" s="3406"/>
      <c r="DT406" s="3406"/>
      <c r="DU406" s="3406"/>
      <c r="DV406" s="3406"/>
      <c r="DW406" s="3406"/>
      <c r="DX406" s="3406"/>
      <c r="DY406" s="3406"/>
      <c r="DZ406" s="3406"/>
      <c r="EA406" s="3406"/>
      <c r="EB406" s="3406"/>
      <c r="EC406" s="3406"/>
      <c r="ED406" s="3406"/>
      <c r="EE406" s="3406"/>
      <c r="EF406" s="3406"/>
      <c r="EG406" s="3406"/>
      <c r="EH406" s="3406"/>
      <c r="EI406" s="3406"/>
      <c r="EJ406" s="3406"/>
      <c r="EK406" s="3406"/>
      <c r="EL406" s="3406"/>
      <c r="EM406" s="3406"/>
    </row>
    <row r="407" spans="1:143" s="3402" customFormat="1" ht="18" hidden="1" customHeight="1" thickBot="1">
      <c r="A407" s="1836"/>
      <c r="B407" s="4394"/>
      <c r="C407" s="4602" t="s">
        <v>1386</v>
      </c>
      <c r="D407" s="4602"/>
      <c r="E407" s="2514">
        <v>0</v>
      </c>
      <c r="F407" s="3404"/>
      <c r="G407" s="2681"/>
      <c r="H407" s="3117" t="e">
        <f t="shared" si="26"/>
        <v>#DIV/0!</v>
      </c>
      <c r="I407" s="1701"/>
      <c r="J407" s="1702"/>
      <c r="K407" s="1701"/>
      <c r="L407" s="1701"/>
      <c r="M407" s="1701"/>
      <c r="N407" s="1701"/>
      <c r="O407" s="1701"/>
      <c r="P407" s="1701"/>
      <c r="Q407" s="1701"/>
      <c r="R407" s="1701"/>
      <c r="S407" s="1701"/>
      <c r="T407" s="1701"/>
      <c r="U407" s="1701"/>
      <c r="V407" s="1701"/>
      <c r="W407" s="1701"/>
      <c r="X407" s="1701"/>
      <c r="Y407" s="1701"/>
      <c r="Z407" s="1701"/>
      <c r="AA407" s="1701"/>
      <c r="AB407" s="1701"/>
      <c r="AC407" s="1701"/>
      <c r="AD407" s="1701"/>
      <c r="AE407" s="1701"/>
      <c r="AF407" s="1701"/>
      <c r="AG407" s="1701"/>
      <c r="AH407" s="1701"/>
      <c r="AI407" s="1701"/>
      <c r="AJ407" s="1701"/>
      <c r="AK407" s="1701"/>
      <c r="AL407" s="1701"/>
      <c r="AM407" s="1701"/>
      <c r="AN407" s="1701"/>
      <c r="AO407" s="1701"/>
      <c r="AP407" s="1701"/>
      <c r="AQ407" s="1701"/>
      <c r="AR407" s="1701"/>
      <c r="AS407" s="1701"/>
      <c r="AT407" s="1701"/>
      <c r="AU407" s="1701"/>
      <c r="AV407" s="1701"/>
      <c r="AW407" s="1701"/>
      <c r="AX407" s="1701"/>
      <c r="AY407" s="1701"/>
      <c r="AZ407" s="1701"/>
      <c r="BA407" s="1701"/>
      <c r="BB407" s="1701"/>
      <c r="BC407" s="1701"/>
      <c r="BD407" s="1701"/>
      <c r="BE407" s="1701"/>
      <c r="BF407" s="1701"/>
      <c r="BG407" s="1701"/>
      <c r="BH407" s="1701"/>
      <c r="BI407" s="1701"/>
      <c r="BJ407" s="1701"/>
      <c r="BK407" s="1701"/>
      <c r="BL407" s="1701"/>
      <c r="BM407" s="1701"/>
      <c r="BN407" s="1701"/>
      <c r="BO407" s="1701"/>
      <c r="BP407" s="1701"/>
      <c r="BQ407" s="1701"/>
      <c r="BR407" s="1701"/>
      <c r="BS407" s="1701"/>
      <c r="BT407" s="1701"/>
      <c r="BU407" s="1701"/>
      <c r="BV407" s="1701"/>
      <c r="BW407" s="1701"/>
      <c r="BX407" s="1701"/>
      <c r="BY407" s="1701"/>
      <c r="BZ407" s="1701"/>
      <c r="CA407" s="1701"/>
      <c r="CB407" s="1701"/>
      <c r="CC407" s="1701"/>
      <c r="CD407" s="1701"/>
      <c r="CE407" s="1701"/>
      <c r="CF407" s="1701"/>
      <c r="CG407" s="1701"/>
      <c r="CH407" s="1701"/>
      <c r="CI407" s="1701"/>
      <c r="CJ407" s="1701"/>
      <c r="CK407" s="1701"/>
      <c r="CL407" s="1701"/>
      <c r="CM407" s="1701"/>
      <c r="CN407" s="1701"/>
      <c r="CO407" s="1701"/>
      <c r="CP407" s="1701"/>
      <c r="CQ407" s="1701"/>
      <c r="CR407" s="1701"/>
      <c r="CS407" s="1701"/>
      <c r="CT407" s="1701"/>
      <c r="CU407" s="1701"/>
      <c r="CV407" s="1701"/>
      <c r="CW407" s="1701"/>
      <c r="CX407" s="1701"/>
      <c r="CY407" s="1701"/>
      <c r="CZ407" s="1701"/>
      <c r="DA407" s="1701"/>
      <c r="DB407" s="1701"/>
      <c r="DC407" s="1701"/>
      <c r="DD407" s="1701"/>
      <c r="DE407" s="1701"/>
      <c r="DF407" s="1701"/>
      <c r="DG407" s="1701"/>
      <c r="DH407" s="1701"/>
      <c r="DI407" s="1701"/>
      <c r="DJ407" s="1701"/>
      <c r="DK407" s="1701"/>
      <c r="DL407" s="1701"/>
      <c r="DM407" s="1701"/>
      <c r="DN407" s="1701"/>
      <c r="DO407" s="1701"/>
      <c r="DP407" s="1701"/>
      <c r="DQ407" s="1701"/>
      <c r="DR407" s="1701"/>
      <c r="DS407" s="1701"/>
      <c r="DT407" s="1701"/>
      <c r="DU407" s="1701"/>
      <c r="DV407" s="1701"/>
      <c r="DW407" s="1701"/>
      <c r="DX407" s="1701"/>
      <c r="DY407" s="1701"/>
      <c r="DZ407" s="1701"/>
      <c r="EA407" s="1701"/>
      <c r="EB407" s="1701"/>
      <c r="EC407" s="1701"/>
      <c r="ED407" s="1701"/>
      <c r="EE407" s="1701"/>
      <c r="EF407" s="1701"/>
      <c r="EG407" s="1701"/>
      <c r="EH407" s="1701"/>
      <c r="EI407" s="1701"/>
      <c r="EJ407" s="1701"/>
      <c r="EK407" s="1701"/>
      <c r="EL407" s="1701"/>
      <c r="EM407" s="1701"/>
    </row>
    <row r="408" spans="1:143" s="3402" customFormat="1" ht="15" hidden="1" customHeight="1" thickBot="1">
      <c r="A408" s="1836"/>
      <c r="B408" s="4394"/>
      <c r="C408" s="4520" t="s">
        <v>1354</v>
      </c>
      <c r="D408" s="4520"/>
      <c r="E408" s="3404">
        <v>0</v>
      </c>
      <c r="F408" s="3404"/>
      <c r="G408" s="2681"/>
      <c r="H408" s="3117" t="e">
        <f t="shared" si="26"/>
        <v>#DIV/0!</v>
      </c>
      <c r="I408" s="1701"/>
      <c r="J408" s="1702"/>
      <c r="K408" s="1701"/>
      <c r="L408" s="1701"/>
      <c r="M408" s="1701"/>
      <c r="N408" s="1701"/>
      <c r="O408" s="1701"/>
      <c r="P408" s="1701"/>
      <c r="Q408" s="1701"/>
      <c r="R408" s="1701"/>
      <c r="S408" s="1701"/>
      <c r="T408" s="1701"/>
      <c r="U408" s="1701"/>
      <c r="V408" s="1701"/>
      <c r="W408" s="1701"/>
      <c r="X408" s="1701"/>
      <c r="Y408" s="1701"/>
      <c r="Z408" s="1701"/>
      <c r="AA408" s="1701"/>
      <c r="AB408" s="1701"/>
      <c r="AC408" s="1701"/>
      <c r="AD408" s="1701"/>
      <c r="AE408" s="1701"/>
      <c r="AF408" s="1701"/>
      <c r="AG408" s="1701"/>
      <c r="AH408" s="1701"/>
      <c r="AI408" s="1701"/>
      <c r="AJ408" s="1701"/>
      <c r="AK408" s="1701"/>
      <c r="AL408" s="1701"/>
      <c r="AM408" s="1701"/>
      <c r="AN408" s="1701"/>
      <c r="AO408" s="1701"/>
      <c r="AP408" s="1701"/>
      <c r="AQ408" s="1701"/>
      <c r="AR408" s="1701"/>
      <c r="AS408" s="1701"/>
      <c r="AT408" s="1701"/>
      <c r="AU408" s="1701"/>
      <c r="AV408" s="1701"/>
      <c r="AW408" s="1701"/>
      <c r="AX408" s="1701"/>
      <c r="AY408" s="1701"/>
      <c r="AZ408" s="1701"/>
      <c r="BA408" s="1701"/>
      <c r="BB408" s="1701"/>
      <c r="BC408" s="1701"/>
      <c r="BD408" s="1701"/>
      <c r="BE408" s="1701"/>
      <c r="BF408" s="1701"/>
      <c r="BG408" s="1701"/>
      <c r="BH408" s="1701"/>
      <c r="BI408" s="1701"/>
      <c r="BJ408" s="1701"/>
      <c r="BK408" s="1701"/>
      <c r="BL408" s="1701"/>
      <c r="BM408" s="1701"/>
      <c r="BN408" s="1701"/>
      <c r="BO408" s="1701"/>
      <c r="BP408" s="1701"/>
      <c r="BQ408" s="1701"/>
      <c r="BR408" s="1701"/>
      <c r="BS408" s="1701"/>
      <c r="BT408" s="1701"/>
      <c r="BU408" s="1701"/>
      <c r="BV408" s="1701"/>
      <c r="BW408" s="1701"/>
      <c r="BX408" s="1701"/>
      <c r="BY408" s="1701"/>
      <c r="BZ408" s="1701"/>
      <c r="CA408" s="1701"/>
      <c r="CB408" s="1701"/>
      <c r="CC408" s="1701"/>
      <c r="CD408" s="1701"/>
      <c r="CE408" s="1701"/>
      <c r="CF408" s="1701"/>
      <c r="CG408" s="1701"/>
      <c r="CH408" s="1701"/>
      <c r="CI408" s="1701"/>
      <c r="CJ408" s="1701"/>
      <c r="CK408" s="1701"/>
      <c r="CL408" s="1701"/>
      <c r="CM408" s="1701"/>
      <c r="CN408" s="1701"/>
      <c r="CO408" s="1701"/>
      <c r="CP408" s="1701"/>
      <c r="CQ408" s="1701"/>
      <c r="CR408" s="1701"/>
      <c r="CS408" s="1701"/>
      <c r="CT408" s="1701"/>
      <c r="CU408" s="1701"/>
      <c r="CV408" s="1701"/>
      <c r="CW408" s="1701"/>
      <c r="CX408" s="1701"/>
      <c r="CY408" s="1701"/>
      <c r="CZ408" s="1701"/>
      <c r="DA408" s="1701"/>
      <c r="DB408" s="1701"/>
      <c r="DC408" s="1701"/>
      <c r="DD408" s="1701"/>
      <c r="DE408" s="1701"/>
      <c r="DF408" s="1701"/>
      <c r="DG408" s="1701"/>
      <c r="DH408" s="1701"/>
      <c r="DI408" s="1701"/>
      <c r="DJ408" s="1701"/>
      <c r="DK408" s="1701"/>
      <c r="DL408" s="1701"/>
      <c r="DM408" s="1701"/>
      <c r="DN408" s="1701"/>
      <c r="DO408" s="1701"/>
      <c r="DP408" s="1701"/>
      <c r="DQ408" s="1701"/>
      <c r="DR408" s="1701"/>
      <c r="DS408" s="1701"/>
      <c r="DT408" s="1701"/>
      <c r="DU408" s="1701"/>
      <c r="DV408" s="1701"/>
      <c r="DW408" s="1701"/>
      <c r="DX408" s="1701"/>
      <c r="DY408" s="1701"/>
      <c r="DZ408" s="1701"/>
      <c r="EA408" s="1701"/>
      <c r="EB408" s="1701"/>
      <c r="EC408" s="1701"/>
      <c r="ED408" s="1701"/>
      <c r="EE408" s="1701"/>
      <c r="EF408" s="1701"/>
      <c r="EG408" s="1701"/>
      <c r="EH408" s="1701"/>
      <c r="EI408" s="1701"/>
      <c r="EJ408" s="1701"/>
      <c r="EK408" s="1701"/>
      <c r="EL408" s="1701"/>
      <c r="EM408" s="1701"/>
    </row>
    <row r="409" spans="1:143" s="3402" customFormat="1" ht="49.5" hidden="1" customHeight="1" thickBot="1">
      <c r="A409" s="1836"/>
      <c r="B409" s="4394"/>
      <c r="C409" s="3379" t="s">
        <v>939</v>
      </c>
      <c r="D409" s="3378" t="s">
        <v>938</v>
      </c>
      <c r="E409" s="3377">
        <v>0</v>
      </c>
      <c r="F409" s="3377"/>
      <c r="G409" s="3403"/>
      <c r="H409" s="3375" t="e">
        <f t="shared" si="26"/>
        <v>#DIV/0!</v>
      </c>
      <c r="I409" s="1701"/>
      <c r="J409" s="1702"/>
      <c r="K409" s="1701"/>
      <c r="L409" s="1701"/>
      <c r="M409" s="1701"/>
      <c r="N409" s="1701"/>
      <c r="O409" s="1701"/>
      <c r="P409" s="1701"/>
      <c r="Q409" s="1701"/>
      <c r="R409" s="1701"/>
      <c r="S409" s="1701"/>
      <c r="T409" s="1701"/>
      <c r="U409" s="1701"/>
      <c r="V409" s="1701"/>
      <c r="W409" s="1701"/>
      <c r="X409" s="1701"/>
      <c r="Y409" s="1701"/>
      <c r="Z409" s="1701"/>
      <c r="AA409" s="1701"/>
      <c r="AB409" s="1701"/>
      <c r="AC409" s="1701"/>
      <c r="AD409" s="1701"/>
      <c r="AE409" s="1701"/>
      <c r="AF409" s="1701"/>
      <c r="AG409" s="1701"/>
      <c r="AH409" s="1701"/>
      <c r="AI409" s="1701"/>
      <c r="AJ409" s="1701"/>
      <c r="AK409" s="1701"/>
      <c r="AL409" s="1701"/>
      <c r="AM409" s="1701"/>
      <c r="AN409" s="1701"/>
      <c r="AO409" s="1701"/>
      <c r="AP409" s="1701"/>
      <c r="AQ409" s="1701"/>
      <c r="AR409" s="1701"/>
      <c r="AS409" s="1701"/>
      <c r="AT409" s="1701"/>
      <c r="AU409" s="1701"/>
      <c r="AV409" s="1701"/>
      <c r="AW409" s="1701"/>
      <c r="AX409" s="1701"/>
      <c r="AY409" s="1701"/>
      <c r="AZ409" s="1701"/>
      <c r="BA409" s="1701"/>
      <c r="BB409" s="1701"/>
      <c r="BC409" s="1701"/>
      <c r="BD409" s="1701"/>
      <c r="BE409" s="1701"/>
      <c r="BF409" s="1701"/>
      <c r="BG409" s="1701"/>
      <c r="BH409" s="1701"/>
      <c r="BI409" s="1701"/>
      <c r="BJ409" s="1701"/>
      <c r="BK409" s="1701"/>
      <c r="BL409" s="1701"/>
      <c r="BM409" s="1701"/>
      <c r="BN409" s="1701"/>
      <c r="BO409" s="1701"/>
      <c r="BP409" s="1701"/>
      <c r="BQ409" s="1701"/>
      <c r="BR409" s="1701"/>
      <c r="BS409" s="1701"/>
      <c r="BT409" s="1701"/>
      <c r="BU409" s="1701"/>
      <c r="BV409" s="1701"/>
      <c r="BW409" s="1701"/>
      <c r="BX409" s="1701"/>
      <c r="BY409" s="1701"/>
      <c r="BZ409" s="1701"/>
      <c r="CA409" s="1701"/>
      <c r="CB409" s="1701"/>
      <c r="CC409" s="1701"/>
      <c r="CD409" s="1701"/>
      <c r="CE409" s="1701"/>
      <c r="CF409" s="1701"/>
      <c r="CG409" s="1701"/>
      <c r="CH409" s="1701"/>
      <c r="CI409" s="1701"/>
      <c r="CJ409" s="1701"/>
      <c r="CK409" s="1701"/>
      <c r="CL409" s="1701"/>
      <c r="CM409" s="1701"/>
      <c r="CN409" s="1701"/>
      <c r="CO409" s="1701"/>
      <c r="CP409" s="1701"/>
      <c r="CQ409" s="1701"/>
      <c r="CR409" s="1701"/>
      <c r="CS409" s="1701"/>
      <c r="CT409" s="1701"/>
      <c r="CU409" s="1701"/>
      <c r="CV409" s="1701"/>
      <c r="CW409" s="1701"/>
      <c r="CX409" s="1701"/>
      <c r="CY409" s="1701"/>
      <c r="CZ409" s="1701"/>
      <c r="DA409" s="1701"/>
      <c r="DB409" s="1701"/>
      <c r="DC409" s="1701"/>
      <c r="DD409" s="1701"/>
      <c r="DE409" s="1701"/>
      <c r="DF409" s="1701"/>
      <c r="DG409" s="1701"/>
      <c r="DH409" s="1701"/>
      <c r="DI409" s="1701"/>
      <c r="DJ409" s="1701"/>
      <c r="DK409" s="1701"/>
      <c r="DL409" s="1701"/>
      <c r="DM409" s="1701"/>
      <c r="DN409" s="1701"/>
      <c r="DO409" s="1701"/>
      <c r="DP409" s="1701"/>
      <c r="DQ409" s="1701"/>
      <c r="DR409" s="1701"/>
      <c r="DS409" s="1701"/>
      <c r="DT409" s="1701"/>
      <c r="DU409" s="1701"/>
      <c r="DV409" s="1701"/>
      <c r="DW409" s="1701"/>
      <c r="DX409" s="1701"/>
      <c r="DY409" s="1701"/>
      <c r="DZ409" s="1701"/>
      <c r="EA409" s="1701"/>
      <c r="EB409" s="1701"/>
      <c r="EC409" s="1701"/>
      <c r="ED409" s="1701"/>
      <c r="EE409" s="1701"/>
      <c r="EF409" s="1701"/>
      <c r="EG409" s="1701"/>
      <c r="EH409" s="1701"/>
      <c r="EI409" s="1701"/>
      <c r="EJ409" s="1701"/>
      <c r="EK409" s="1701"/>
      <c r="EL409" s="1701"/>
      <c r="EM409" s="1701"/>
    </row>
    <row r="410" spans="1:143" ht="15" customHeight="1" thickBot="1">
      <c r="A410" s="1822"/>
      <c r="B410" s="1768" t="s">
        <v>863</v>
      </c>
      <c r="C410" s="1839"/>
      <c r="D410" s="1838" t="s">
        <v>862</v>
      </c>
      <c r="E410" s="1765">
        <f t="shared" ref="E410:G412" si="27">SUM(E411)</f>
        <v>1000000</v>
      </c>
      <c r="F410" s="1765">
        <f t="shared" si="27"/>
        <v>1010000</v>
      </c>
      <c r="G410" s="1764">
        <f t="shared" si="27"/>
        <v>1000000</v>
      </c>
      <c r="H410" s="1763">
        <f t="shared" si="26"/>
        <v>0.99009900990099009</v>
      </c>
    </row>
    <row r="411" spans="1:143" ht="14.25" customHeight="1">
      <c r="A411" s="1836"/>
      <c r="B411" s="1831"/>
      <c r="C411" s="4539" t="s">
        <v>941</v>
      </c>
      <c r="D411" s="4603"/>
      <c r="E411" s="1750">
        <f t="shared" si="27"/>
        <v>1000000</v>
      </c>
      <c r="F411" s="1750">
        <f t="shared" si="27"/>
        <v>1010000</v>
      </c>
      <c r="G411" s="1749">
        <f t="shared" si="27"/>
        <v>1000000</v>
      </c>
      <c r="H411" s="2809">
        <f t="shared" si="26"/>
        <v>0.99009900990099009</v>
      </c>
    </row>
    <row r="412" spans="1:143" ht="16.5" customHeight="1">
      <c r="A412" s="1836"/>
      <c r="B412" s="1831"/>
      <c r="C412" s="4550" t="s">
        <v>940</v>
      </c>
      <c r="D412" s="4556"/>
      <c r="E412" s="3285">
        <f t="shared" si="27"/>
        <v>1000000</v>
      </c>
      <c r="F412" s="3285">
        <f t="shared" si="27"/>
        <v>1010000</v>
      </c>
      <c r="G412" s="2686">
        <f t="shared" si="27"/>
        <v>1000000</v>
      </c>
      <c r="H412" s="3184">
        <f t="shared" si="26"/>
        <v>0.99009900990099009</v>
      </c>
    </row>
    <row r="413" spans="1:143" ht="45" customHeight="1" thickBot="1">
      <c r="A413" s="1822"/>
      <c r="B413" s="1847"/>
      <c r="C413" s="3401" t="s">
        <v>939</v>
      </c>
      <c r="D413" s="3391" t="s">
        <v>938</v>
      </c>
      <c r="E413" s="2636">
        <v>1000000</v>
      </c>
      <c r="F413" s="2636">
        <v>1010000</v>
      </c>
      <c r="G413" s="1738">
        <v>1000000</v>
      </c>
      <c r="H413" s="2617">
        <f t="shared" si="26"/>
        <v>0.99009900990099009</v>
      </c>
    </row>
    <row r="414" spans="1:143" ht="15.75" hidden="1" customHeight="1" thickBot="1">
      <c r="A414" s="1836"/>
      <c r="B414" s="2112" t="s">
        <v>1385</v>
      </c>
      <c r="C414" s="3400"/>
      <c r="D414" s="3399" t="s">
        <v>1384</v>
      </c>
      <c r="E414" s="2109">
        <f>SUM(E415,E419)</f>
        <v>200000</v>
      </c>
      <c r="F414" s="2109">
        <f>SUM(F415,F419)</f>
        <v>407500</v>
      </c>
      <c r="G414" s="2108">
        <f>SUM(G415,G419)</f>
        <v>0</v>
      </c>
      <c r="H414" s="2107">
        <f t="shared" si="26"/>
        <v>0</v>
      </c>
    </row>
    <row r="415" spans="1:143" ht="15.75" hidden="1" customHeight="1">
      <c r="A415" s="1836"/>
      <c r="B415" s="4402"/>
      <c r="C415" s="4591" t="s">
        <v>944</v>
      </c>
      <c r="D415" s="4592"/>
      <c r="E415" s="3347">
        <f t="shared" ref="E415:G416" si="28">SUM(E416)</f>
        <v>0</v>
      </c>
      <c r="F415" s="3347">
        <f t="shared" si="28"/>
        <v>100000</v>
      </c>
      <c r="G415" s="3398">
        <f t="shared" si="28"/>
        <v>0</v>
      </c>
      <c r="H415" s="2809">
        <f t="shared" si="26"/>
        <v>0</v>
      </c>
    </row>
    <row r="416" spans="1:143" ht="15" hidden="1" customHeight="1">
      <c r="A416" s="1836"/>
      <c r="B416" s="4403"/>
      <c r="C416" s="4593" t="s">
        <v>943</v>
      </c>
      <c r="D416" s="4593"/>
      <c r="E416" s="3330">
        <f t="shared" si="28"/>
        <v>0</v>
      </c>
      <c r="F416" s="3330">
        <f t="shared" si="28"/>
        <v>100000</v>
      </c>
      <c r="G416" s="3346">
        <f t="shared" si="28"/>
        <v>0</v>
      </c>
      <c r="H416" s="3184">
        <f t="shared" si="26"/>
        <v>0</v>
      </c>
    </row>
    <row r="417" spans="1:10" ht="42" hidden="1" customHeight="1">
      <c r="A417" s="1836"/>
      <c r="B417" s="4403"/>
      <c r="C417" s="3397" t="s">
        <v>91</v>
      </c>
      <c r="D417" s="3396" t="s">
        <v>955</v>
      </c>
      <c r="E417" s="3330">
        <v>0</v>
      </c>
      <c r="F417" s="3285">
        <v>100000</v>
      </c>
      <c r="G417" s="2686">
        <v>0</v>
      </c>
      <c r="H417" s="3184">
        <f t="shared" si="26"/>
        <v>0</v>
      </c>
    </row>
    <row r="418" spans="1:10" ht="15.75" hidden="1" customHeight="1">
      <c r="A418" s="1836"/>
      <c r="B418" s="4403"/>
      <c r="C418" s="3395"/>
      <c r="D418" s="3394"/>
      <c r="E418" s="3393"/>
      <c r="F418" s="3285"/>
      <c r="G418" s="2686"/>
      <c r="H418" s="3184"/>
    </row>
    <row r="419" spans="1:10" ht="13.5" hidden="1" customHeight="1">
      <c r="A419" s="1836"/>
      <c r="B419" s="4403"/>
      <c r="C419" s="4566" t="s">
        <v>941</v>
      </c>
      <c r="D419" s="4566"/>
      <c r="E419" s="2538">
        <f t="shared" ref="E419:G420" si="29">SUM(E420)</f>
        <v>200000</v>
      </c>
      <c r="F419" s="2538">
        <f t="shared" si="29"/>
        <v>307500</v>
      </c>
      <c r="G419" s="1761">
        <f t="shared" si="29"/>
        <v>0</v>
      </c>
      <c r="H419" s="3216">
        <f t="shared" ref="H419:H443" si="30">G419/F419</f>
        <v>0</v>
      </c>
    </row>
    <row r="420" spans="1:10" ht="13.5" hidden="1" customHeight="1">
      <c r="A420" s="1836"/>
      <c r="B420" s="4403"/>
      <c r="C420" s="4550" t="s">
        <v>940</v>
      </c>
      <c r="D420" s="4556"/>
      <c r="E420" s="3285">
        <f t="shared" si="29"/>
        <v>200000</v>
      </c>
      <c r="F420" s="3285">
        <f t="shared" si="29"/>
        <v>307500</v>
      </c>
      <c r="G420" s="2686">
        <f t="shared" si="29"/>
        <v>0</v>
      </c>
      <c r="H420" s="3184">
        <f t="shared" si="30"/>
        <v>0</v>
      </c>
    </row>
    <row r="421" spans="1:10" ht="21.75" hidden="1" customHeight="1" thickBot="1">
      <c r="A421" s="1836"/>
      <c r="B421" s="4590"/>
      <c r="C421" s="3392" t="s">
        <v>546</v>
      </c>
      <c r="D421" s="3391" t="s">
        <v>1023</v>
      </c>
      <c r="E421" s="2636">
        <v>200000</v>
      </c>
      <c r="F421" s="3285">
        <v>307500</v>
      </c>
      <c r="G421" s="2686">
        <v>0</v>
      </c>
      <c r="H421" s="3390">
        <f t="shared" si="30"/>
        <v>0</v>
      </c>
    </row>
    <row r="422" spans="1:10" s="1906" customFormat="1" ht="18" hidden="1" customHeight="1" thickBot="1">
      <c r="A422" s="1923"/>
      <c r="B422" s="1971" t="s">
        <v>1383</v>
      </c>
      <c r="C422" s="1985"/>
      <c r="D422" s="1969" t="s">
        <v>1149</v>
      </c>
      <c r="E422" s="3389">
        <f>SUM(E431)</f>
        <v>78773155</v>
      </c>
      <c r="F422" s="3389">
        <f>SUM(F431)</f>
        <v>87925890</v>
      </c>
      <c r="G422" s="3388">
        <f>SUM(G431)</f>
        <v>0</v>
      </c>
      <c r="H422" s="1966">
        <f t="shared" si="30"/>
        <v>0</v>
      </c>
      <c r="J422" s="1702"/>
    </row>
    <row r="423" spans="1:10" s="1906" customFormat="1" ht="18" hidden="1" customHeight="1" thickBot="1">
      <c r="A423" s="1923"/>
      <c r="B423" s="3387"/>
      <c r="C423" s="4594" t="s">
        <v>944</v>
      </c>
      <c r="D423" s="4595"/>
      <c r="E423" s="2864">
        <f t="shared" ref="E423:G424" si="31">SUM(E424)</f>
        <v>0</v>
      </c>
      <c r="F423" s="2864">
        <f t="shared" si="31"/>
        <v>0</v>
      </c>
      <c r="G423" s="2863">
        <f t="shared" si="31"/>
        <v>0</v>
      </c>
      <c r="H423" s="2508" t="e">
        <f t="shared" si="30"/>
        <v>#DIV/0!</v>
      </c>
      <c r="J423" s="1702"/>
    </row>
    <row r="424" spans="1:10" s="1906" customFormat="1" ht="18" hidden="1" customHeight="1">
      <c r="A424" s="1923"/>
      <c r="B424" s="3384"/>
      <c r="C424" s="4596" t="s">
        <v>967</v>
      </c>
      <c r="D424" s="4597"/>
      <c r="E424" s="3356">
        <f t="shared" si="31"/>
        <v>0</v>
      </c>
      <c r="F424" s="3356">
        <f t="shared" si="31"/>
        <v>0</v>
      </c>
      <c r="G424" s="2870">
        <f t="shared" si="31"/>
        <v>0</v>
      </c>
      <c r="H424" s="3157" t="e">
        <f t="shared" si="30"/>
        <v>#DIV/0!</v>
      </c>
      <c r="J424" s="1702"/>
    </row>
    <row r="425" spans="1:10" s="1906" customFormat="1" ht="18" hidden="1" customHeight="1">
      <c r="A425" s="1923"/>
      <c r="B425" s="2550"/>
      <c r="C425" s="4598"/>
      <c r="D425" s="4598"/>
      <c r="E425" s="3386"/>
      <c r="F425" s="3386"/>
      <c r="G425" s="3385"/>
      <c r="H425" s="3157" t="e">
        <f t="shared" si="30"/>
        <v>#DIV/0!</v>
      </c>
      <c r="J425" s="1702"/>
    </row>
    <row r="426" spans="1:10" s="1906" customFormat="1" ht="18" hidden="1" customHeight="1">
      <c r="A426" s="1923"/>
      <c r="B426" s="3384"/>
      <c r="C426" s="4596" t="s">
        <v>961</v>
      </c>
      <c r="D426" s="4597"/>
      <c r="E426" s="3359">
        <v>0</v>
      </c>
      <c r="F426" s="3359">
        <v>0</v>
      </c>
      <c r="G426" s="3152">
        <v>0</v>
      </c>
      <c r="H426" s="3157" t="e">
        <f t="shared" si="30"/>
        <v>#DIV/0!</v>
      </c>
      <c r="J426" s="1702"/>
    </row>
    <row r="427" spans="1:10" s="1906" customFormat="1" ht="18" hidden="1" customHeight="1">
      <c r="A427" s="1923"/>
      <c r="B427" s="3384"/>
      <c r="C427" s="3134" t="s">
        <v>1002</v>
      </c>
      <c r="D427" s="3383" t="s">
        <v>1001</v>
      </c>
      <c r="E427" s="3359">
        <v>0</v>
      </c>
      <c r="F427" s="3359">
        <v>0</v>
      </c>
      <c r="G427" s="3152">
        <v>0</v>
      </c>
      <c r="H427" s="3157" t="e">
        <f t="shared" si="30"/>
        <v>#DIV/0!</v>
      </c>
      <c r="J427" s="1702"/>
    </row>
    <row r="428" spans="1:10" s="1906" customFormat="1" ht="18" hidden="1" customHeight="1">
      <c r="A428" s="1923"/>
      <c r="B428" s="3384"/>
      <c r="C428" s="3134"/>
      <c r="D428" s="3383"/>
      <c r="E428" s="3359"/>
      <c r="F428" s="3359"/>
      <c r="G428" s="3152"/>
      <c r="H428" s="3157" t="e">
        <f t="shared" si="30"/>
        <v>#DIV/0!</v>
      </c>
      <c r="J428" s="1702"/>
    </row>
    <row r="429" spans="1:10" s="1906" customFormat="1" ht="18" hidden="1" customHeight="1">
      <c r="A429" s="1923"/>
      <c r="B429" s="2550"/>
      <c r="C429" s="4570" t="s">
        <v>943</v>
      </c>
      <c r="D429" s="4571"/>
      <c r="E429" s="3359">
        <v>0</v>
      </c>
      <c r="F429" s="3359">
        <v>0</v>
      </c>
      <c r="G429" s="3152">
        <v>0</v>
      </c>
      <c r="H429" s="3157" t="e">
        <f t="shared" si="30"/>
        <v>#DIV/0!</v>
      </c>
      <c r="J429" s="1702"/>
    </row>
    <row r="430" spans="1:10" s="1906" customFormat="1" ht="43.5" hidden="1" customHeight="1">
      <c r="A430" s="1923"/>
      <c r="B430" s="2550"/>
      <c r="C430" s="3382" t="s">
        <v>91</v>
      </c>
      <c r="D430" s="3381" t="s">
        <v>955</v>
      </c>
      <c r="E430" s="3359">
        <v>0</v>
      </c>
      <c r="F430" s="3359">
        <v>0</v>
      </c>
      <c r="G430" s="3152">
        <v>0</v>
      </c>
      <c r="H430" s="3157" t="e">
        <f t="shared" si="30"/>
        <v>#DIV/0!</v>
      </c>
      <c r="J430" s="1702"/>
    </row>
    <row r="431" spans="1:10" s="1906" customFormat="1" ht="15.75" hidden="1" customHeight="1">
      <c r="A431" s="1923"/>
      <c r="B431" s="1922"/>
      <c r="C431" s="4572" t="s">
        <v>941</v>
      </c>
      <c r="D431" s="4572"/>
      <c r="E431" s="2864">
        <f t="shared" ref="E431:G432" si="32">SUM(E432)</f>
        <v>78773155</v>
      </c>
      <c r="F431" s="2864">
        <f t="shared" si="32"/>
        <v>87925890</v>
      </c>
      <c r="G431" s="2863">
        <f t="shared" si="32"/>
        <v>0</v>
      </c>
      <c r="H431" s="3157">
        <f t="shared" si="30"/>
        <v>0</v>
      </c>
      <c r="J431" s="1702"/>
    </row>
    <row r="432" spans="1:10" s="1906" customFormat="1" ht="15.75" hidden="1" customHeight="1">
      <c r="A432" s="1923"/>
      <c r="B432" s="1922"/>
      <c r="C432" s="4573" t="s">
        <v>940</v>
      </c>
      <c r="D432" s="4574"/>
      <c r="E432" s="3380">
        <f t="shared" si="32"/>
        <v>78773155</v>
      </c>
      <c r="F432" s="3380">
        <f t="shared" si="32"/>
        <v>87925890</v>
      </c>
      <c r="G432" s="3107">
        <f t="shared" si="32"/>
        <v>0</v>
      </c>
      <c r="H432" s="3111">
        <f t="shared" si="30"/>
        <v>0</v>
      </c>
      <c r="J432" s="1702"/>
    </row>
    <row r="433" spans="1:10" s="1906" customFormat="1" ht="15.75" hidden="1" customHeight="1" thickBot="1">
      <c r="A433" s="1923"/>
      <c r="B433" s="1922"/>
      <c r="C433" s="3146" t="s">
        <v>546</v>
      </c>
      <c r="D433" s="3145" t="s">
        <v>1023</v>
      </c>
      <c r="E433" s="3380">
        <v>78773155</v>
      </c>
      <c r="F433" s="3356">
        <v>87925890</v>
      </c>
      <c r="G433" s="2870">
        <v>0</v>
      </c>
      <c r="H433" s="3111">
        <f t="shared" si="30"/>
        <v>0</v>
      </c>
      <c r="J433" s="1702"/>
    </row>
    <row r="434" spans="1:10" ht="42" hidden="1" customHeight="1" thickBot="1">
      <c r="A434" s="1836"/>
      <c r="B434" s="2393"/>
      <c r="C434" s="3379" t="s">
        <v>939</v>
      </c>
      <c r="D434" s="3378" t="s">
        <v>938</v>
      </c>
      <c r="E434" s="3377">
        <v>0</v>
      </c>
      <c r="F434" s="3376"/>
      <c r="G434" s="2681"/>
      <c r="H434" s="3375" t="e">
        <f t="shared" si="30"/>
        <v>#DIV/0!</v>
      </c>
    </row>
    <row r="435" spans="1:10" ht="18.75" customHeight="1" thickBot="1">
      <c r="A435" s="1836"/>
      <c r="B435" s="1971" t="s">
        <v>1382</v>
      </c>
      <c r="C435" s="2900"/>
      <c r="D435" s="2899" t="s">
        <v>50</v>
      </c>
      <c r="E435" s="3374">
        <f>SUM(E436,E453)</f>
        <v>795603</v>
      </c>
      <c r="F435" s="3374">
        <f>SUM(F436,F453)</f>
        <v>8795703</v>
      </c>
      <c r="G435" s="3373">
        <f>SUM(G436,G453)</f>
        <v>832605</v>
      </c>
      <c r="H435" s="1966">
        <f t="shared" si="30"/>
        <v>9.4660426801587094E-2</v>
      </c>
    </row>
    <row r="436" spans="1:10" ht="17.100000000000001" customHeight="1">
      <c r="A436" s="1836"/>
      <c r="B436" s="4575"/>
      <c r="C436" s="4415" t="s">
        <v>944</v>
      </c>
      <c r="D436" s="4578"/>
      <c r="E436" s="2386">
        <f>SUM(E437)</f>
        <v>795603</v>
      </c>
      <c r="F436" s="2386">
        <f>SUM(F437)</f>
        <v>795603</v>
      </c>
      <c r="G436" s="2007">
        <f>SUM(G437)</f>
        <v>832605</v>
      </c>
      <c r="H436" s="2508">
        <f t="shared" si="30"/>
        <v>1.0465081202559567</v>
      </c>
    </row>
    <row r="437" spans="1:10" ht="17.100000000000001" customHeight="1">
      <c r="A437" s="1836"/>
      <c r="B437" s="4576"/>
      <c r="C437" s="4579" t="s">
        <v>967</v>
      </c>
      <c r="D437" s="4580"/>
      <c r="E437" s="3369">
        <f>SUM(E438,E445)</f>
        <v>795603</v>
      </c>
      <c r="F437" s="3369">
        <f>SUM(F438,F445)</f>
        <v>795603</v>
      </c>
      <c r="G437" s="2870">
        <f>SUM(G438,G445)</f>
        <v>832605</v>
      </c>
      <c r="H437" s="3368">
        <f t="shared" si="30"/>
        <v>1.0465081202559567</v>
      </c>
    </row>
    <row r="438" spans="1:10" ht="17.100000000000001" customHeight="1">
      <c r="A438" s="1836"/>
      <c r="B438" s="4576"/>
      <c r="C438" s="4581" t="s">
        <v>966</v>
      </c>
      <c r="D438" s="4582"/>
      <c r="E438" s="3372">
        <f>SUM(E439:E443)</f>
        <v>630603</v>
      </c>
      <c r="F438" s="3372">
        <f>SUM(F439:F443)</f>
        <v>630603</v>
      </c>
      <c r="G438" s="3046">
        <f>SUM(G439:G443)</f>
        <v>659605</v>
      </c>
      <c r="H438" s="3371">
        <f t="shared" si="30"/>
        <v>1.0459909007727524</v>
      </c>
      <c r="J438" s="1702" t="s">
        <v>1064</v>
      </c>
    </row>
    <row r="439" spans="1:10" ht="17.100000000000001" customHeight="1">
      <c r="A439" s="1836"/>
      <c r="B439" s="4576"/>
      <c r="C439" s="3367" t="s">
        <v>1016</v>
      </c>
      <c r="D439" s="3370" t="s">
        <v>1015</v>
      </c>
      <c r="E439" s="3369">
        <v>491976</v>
      </c>
      <c r="F439" s="3369">
        <v>491976</v>
      </c>
      <c r="G439" s="3193">
        <v>515390</v>
      </c>
      <c r="H439" s="3368">
        <f t="shared" si="30"/>
        <v>1.0475917524432086</v>
      </c>
    </row>
    <row r="440" spans="1:10" ht="17.100000000000001" customHeight="1">
      <c r="A440" s="1836"/>
      <c r="B440" s="4576"/>
      <c r="C440" s="3367" t="s">
        <v>1014</v>
      </c>
      <c r="D440" s="3370" t="s">
        <v>1013</v>
      </c>
      <c r="E440" s="3369">
        <v>35109</v>
      </c>
      <c r="F440" s="3369">
        <v>35109</v>
      </c>
      <c r="G440" s="3193">
        <v>38620</v>
      </c>
      <c r="H440" s="3368">
        <f t="shared" si="30"/>
        <v>1.1000028482725228</v>
      </c>
    </row>
    <row r="441" spans="1:10" ht="17.100000000000001" customHeight="1">
      <c r="A441" s="1836"/>
      <c r="B441" s="4576"/>
      <c r="C441" s="3367" t="s">
        <v>965</v>
      </c>
      <c r="D441" s="3370" t="s">
        <v>964</v>
      </c>
      <c r="E441" s="3369">
        <v>90602</v>
      </c>
      <c r="F441" s="3369">
        <v>88602</v>
      </c>
      <c r="G441" s="3193">
        <v>90267</v>
      </c>
      <c r="H441" s="3368">
        <f t="shared" si="30"/>
        <v>1.0187919008600257</v>
      </c>
    </row>
    <row r="442" spans="1:10" ht="16.5" customHeight="1">
      <c r="A442" s="1836"/>
      <c r="B442" s="4576"/>
      <c r="C442" s="3367" t="s">
        <v>963</v>
      </c>
      <c r="D442" s="3370" t="s">
        <v>962</v>
      </c>
      <c r="E442" s="3369">
        <v>12916</v>
      </c>
      <c r="F442" s="3369">
        <v>12916</v>
      </c>
      <c r="G442" s="3193">
        <v>15027</v>
      </c>
      <c r="H442" s="3368">
        <f t="shared" si="30"/>
        <v>1.163440693713224</v>
      </c>
    </row>
    <row r="443" spans="1:10" ht="16.5" customHeight="1">
      <c r="A443" s="1836"/>
      <c r="B443" s="4576"/>
      <c r="C443" s="3367" t="s">
        <v>1012</v>
      </c>
      <c r="D443" s="3140" t="s">
        <v>1011</v>
      </c>
      <c r="E443" s="3356">
        <v>0</v>
      </c>
      <c r="F443" s="3356">
        <v>2000</v>
      </c>
      <c r="G443" s="3193">
        <v>301</v>
      </c>
      <c r="H443" s="3111">
        <f t="shared" si="30"/>
        <v>0.15049999999999999</v>
      </c>
    </row>
    <row r="444" spans="1:10" ht="15" customHeight="1">
      <c r="A444" s="1836"/>
      <c r="B444" s="4576"/>
      <c r="C444" s="3366"/>
      <c r="D444" s="3365"/>
      <c r="E444" s="3356"/>
      <c r="F444" s="3356"/>
      <c r="G444" s="2870"/>
      <c r="H444" s="3111"/>
    </row>
    <row r="445" spans="1:10" ht="17.100000000000001" customHeight="1">
      <c r="A445" s="1836"/>
      <c r="B445" s="4576"/>
      <c r="C445" s="4583" t="s">
        <v>961</v>
      </c>
      <c r="D445" s="4584"/>
      <c r="E445" s="3364">
        <f>SUM(E447)</f>
        <v>165000</v>
      </c>
      <c r="F445" s="3364">
        <f>SUM(F447)</f>
        <v>165000</v>
      </c>
      <c r="G445" s="3046">
        <f>SUM(G447)</f>
        <v>173000</v>
      </c>
      <c r="H445" s="3142">
        <f t="shared" ref="H445:H451" si="33">G445/F445</f>
        <v>1.0484848484848486</v>
      </c>
    </row>
    <row r="446" spans="1:10" ht="17.100000000000001" hidden="1" customHeight="1">
      <c r="A446" s="1836"/>
      <c r="B446" s="4576"/>
      <c r="C446" s="3098" t="s">
        <v>1048</v>
      </c>
      <c r="D446" s="3357" t="s">
        <v>1047</v>
      </c>
      <c r="E446" s="3356">
        <v>0</v>
      </c>
      <c r="F446" s="3356"/>
      <c r="G446" s="2870"/>
      <c r="H446" s="3111" t="e">
        <f t="shared" si="33"/>
        <v>#DIV/0!</v>
      </c>
    </row>
    <row r="447" spans="1:10" ht="17.100000000000001" customHeight="1" thickBot="1">
      <c r="A447" s="1836"/>
      <c r="B447" s="4576"/>
      <c r="C447" s="3098" t="s">
        <v>959</v>
      </c>
      <c r="D447" s="3357" t="s">
        <v>958</v>
      </c>
      <c r="E447" s="3356">
        <v>165000</v>
      </c>
      <c r="F447" s="3356">
        <v>165000</v>
      </c>
      <c r="G447" s="2870">
        <v>173000</v>
      </c>
      <c r="H447" s="3111">
        <f t="shared" si="33"/>
        <v>1.0484848484848486</v>
      </c>
      <c r="J447" s="1702" t="s">
        <v>1328</v>
      </c>
    </row>
    <row r="448" spans="1:10" ht="17.100000000000001" hidden="1" customHeight="1">
      <c r="A448" s="1836"/>
      <c r="B448" s="4576"/>
      <c r="C448" s="3098" t="s">
        <v>986</v>
      </c>
      <c r="D448" s="3357" t="s">
        <v>985</v>
      </c>
      <c r="E448" s="3356">
        <v>0</v>
      </c>
      <c r="F448" s="3356"/>
      <c r="G448" s="2870"/>
      <c r="H448" s="3111" t="e">
        <f t="shared" si="33"/>
        <v>#DIV/0!</v>
      </c>
    </row>
    <row r="449" spans="1:10" ht="17.100000000000001" hidden="1" customHeight="1">
      <c r="A449" s="1836"/>
      <c r="B449" s="4576"/>
      <c r="C449" s="3098"/>
      <c r="D449" s="3357"/>
      <c r="E449" s="3356"/>
      <c r="F449" s="3356"/>
      <c r="G449" s="2870"/>
      <c r="H449" s="3111" t="e">
        <f t="shared" si="33"/>
        <v>#DIV/0!</v>
      </c>
    </row>
    <row r="450" spans="1:10" ht="17.100000000000001" hidden="1" customHeight="1">
      <c r="A450" s="1836"/>
      <c r="B450" s="4576"/>
      <c r="C450" s="4573" t="s">
        <v>943</v>
      </c>
      <c r="D450" s="4585"/>
      <c r="E450" s="3359">
        <v>0</v>
      </c>
      <c r="F450" s="3356"/>
      <c r="G450" s="2870"/>
      <c r="H450" s="3111" t="e">
        <f t="shared" si="33"/>
        <v>#DIV/0!</v>
      </c>
    </row>
    <row r="451" spans="1:10" ht="27" hidden="1" customHeight="1">
      <c r="A451" s="1836"/>
      <c r="B451" s="4576"/>
      <c r="C451" s="3363" t="s">
        <v>91</v>
      </c>
      <c r="D451" s="3362" t="s">
        <v>955</v>
      </c>
      <c r="E451" s="3359">
        <v>0</v>
      </c>
      <c r="F451" s="3356"/>
      <c r="G451" s="2870"/>
      <c r="H451" s="3111" t="e">
        <f t="shared" si="33"/>
        <v>#DIV/0!</v>
      </c>
    </row>
    <row r="452" spans="1:10" ht="12.75" hidden="1" customHeight="1">
      <c r="A452" s="1836"/>
      <c r="B452" s="4576"/>
      <c r="C452" s="3361"/>
      <c r="D452" s="3360"/>
      <c r="E452" s="3359"/>
      <c r="F452" s="3356"/>
      <c r="G452" s="2870"/>
      <c r="H452" s="3111"/>
    </row>
    <row r="453" spans="1:10" ht="17.100000000000001" hidden="1" customHeight="1">
      <c r="A453" s="1836"/>
      <c r="B453" s="4576"/>
      <c r="C453" s="4586" t="s">
        <v>941</v>
      </c>
      <c r="D453" s="4587"/>
      <c r="E453" s="3358">
        <f>SUM(E457)</f>
        <v>0</v>
      </c>
      <c r="F453" s="3358">
        <f>SUM(F457)</f>
        <v>8000100</v>
      </c>
      <c r="G453" s="2911">
        <f>SUM(G457)</f>
        <v>0</v>
      </c>
      <c r="H453" s="3157">
        <f t="shared" ref="H453:H467" si="34">G453/F453</f>
        <v>0</v>
      </c>
    </row>
    <row r="454" spans="1:10" ht="17.100000000000001" hidden="1" customHeight="1">
      <c r="A454" s="1836"/>
      <c r="B454" s="4576"/>
      <c r="C454" s="4573" t="s">
        <v>1354</v>
      </c>
      <c r="D454" s="4585"/>
      <c r="E454" s="3356">
        <v>0</v>
      </c>
      <c r="F454" s="3356">
        <v>0</v>
      </c>
      <c r="G454" s="2870">
        <v>0</v>
      </c>
      <c r="H454" s="3111" t="e">
        <f t="shared" si="34"/>
        <v>#DIV/0!</v>
      </c>
    </row>
    <row r="455" spans="1:10" ht="42.75" hidden="1" customHeight="1">
      <c r="A455" s="1836"/>
      <c r="B455" s="4576"/>
      <c r="C455" s="3098" t="s">
        <v>939</v>
      </c>
      <c r="D455" s="3357" t="s">
        <v>938</v>
      </c>
      <c r="E455" s="3356">
        <v>0</v>
      </c>
      <c r="F455" s="3356">
        <v>0</v>
      </c>
      <c r="G455" s="2870">
        <v>0</v>
      </c>
      <c r="H455" s="3111" t="e">
        <f t="shared" si="34"/>
        <v>#DIV/0!</v>
      </c>
    </row>
    <row r="456" spans="1:10" ht="18" hidden="1" customHeight="1">
      <c r="A456" s="1836"/>
      <c r="B456" s="4576"/>
      <c r="C456" s="4588"/>
      <c r="D456" s="4589"/>
      <c r="E456" s="3356"/>
      <c r="F456" s="3356"/>
      <c r="G456" s="2870"/>
      <c r="H456" s="3111" t="e">
        <f t="shared" si="34"/>
        <v>#DIV/0!</v>
      </c>
    </row>
    <row r="457" spans="1:10" ht="18" hidden="1" customHeight="1">
      <c r="A457" s="1836"/>
      <c r="B457" s="4576"/>
      <c r="C457" s="4573" t="s">
        <v>1187</v>
      </c>
      <c r="D457" s="4585"/>
      <c r="E457" s="3355">
        <f>SUM(E458)</f>
        <v>0</v>
      </c>
      <c r="F457" s="3355">
        <f>SUM(F458)</f>
        <v>8000100</v>
      </c>
      <c r="G457" s="2940">
        <f>SUM(G458)</f>
        <v>0</v>
      </c>
      <c r="H457" s="3111">
        <f t="shared" si="34"/>
        <v>0</v>
      </c>
    </row>
    <row r="458" spans="1:10" ht="40.5" hidden="1" customHeight="1" thickBot="1">
      <c r="A458" s="2195"/>
      <c r="B458" s="4577"/>
      <c r="C458" s="3354" t="s">
        <v>1186</v>
      </c>
      <c r="D458" s="3353" t="s">
        <v>1185</v>
      </c>
      <c r="E458" s="3352">
        <v>0</v>
      </c>
      <c r="F458" s="2857">
        <v>8000100</v>
      </c>
      <c r="G458" s="1915">
        <v>0</v>
      </c>
      <c r="H458" s="2856">
        <f t="shared" si="34"/>
        <v>0</v>
      </c>
    </row>
    <row r="459" spans="1:10" s="1702" customFormat="1" ht="17.100000000000001" customHeight="1" thickBot="1">
      <c r="A459" s="1844" t="s">
        <v>841</v>
      </c>
      <c r="B459" s="1843"/>
      <c r="C459" s="1842"/>
      <c r="D459" s="1841" t="s">
        <v>1381</v>
      </c>
      <c r="E459" s="1737">
        <v>6044960</v>
      </c>
      <c r="F459" s="1737">
        <f>SUM(F460,F495)</f>
        <v>3011848</v>
      </c>
      <c r="G459" s="1736">
        <f>SUM(G460,G495)</f>
        <v>3577707</v>
      </c>
      <c r="H459" s="1735">
        <f t="shared" si="34"/>
        <v>1.1878776751017979</v>
      </c>
    </row>
    <row r="460" spans="1:10" s="1702" customFormat="1" ht="17.100000000000001" customHeight="1" thickBot="1">
      <c r="A460" s="1756"/>
      <c r="B460" s="1768" t="s">
        <v>840</v>
      </c>
      <c r="C460" s="1839"/>
      <c r="D460" s="1838" t="s">
        <v>131</v>
      </c>
      <c r="E460" s="1818">
        <v>2445100</v>
      </c>
      <c r="F460" s="1818">
        <f>SUM(F461)</f>
        <v>2445100</v>
      </c>
      <c r="G460" s="1817">
        <f>SUM(G461)</f>
        <v>2990565</v>
      </c>
      <c r="H460" s="1763">
        <f t="shared" si="34"/>
        <v>1.223084945401006</v>
      </c>
      <c r="J460" s="1702" t="s">
        <v>1315</v>
      </c>
    </row>
    <row r="461" spans="1:10" s="1702" customFormat="1" ht="17.100000000000001" customHeight="1">
      <c r="A461" s="1756"/>
      <c r="B461" s="1831"/>
      <c r="C461" s="4296" t="s">
        <v>944</v>
      </c>
      <c r="D461" s="4296"/>
      <c r="E461" s="2538">
        <v>2445100</v>
      </c>
      <c r="F461" s="2538">
        <f>SUM(F462,F469)</f>
        <v>2445100</v>
      </c>
      <c r="G461" s="1761">
        <f>SUM(G462,G469)</f>
        <v>2990565</v>
      </c>
      <c r="H461" s="2537">
        <f t="shared" si="34"/>
        <v>1.223084945401006</v>
      </c>
    </row>
    <row r="462" spans="1:10" s="1702" customFormat="1" ht="17.100000000000001" customHeight="1">
      <c r="A462" s="1756"/>
      <c r="B462" s="1831"/>
      <c r="C462" s="4521" t="s">
        <v>967</v>
      </c>
      <c r="D462" s="4521"/>
      <c r="E462" s="3285">
        <v>1019100</v>
      </c>
      <c r="F462" s="3285">
        <f>SUM(F463)</f>
        <v>1019100</v>
      </c>
      <c r="G462" s="2686">
        <f>SUM(G463)</f>
        <v>1421965</v>
      </c>
      <c r="H462" s="3184">
        <f t="shared" si="34"/>
        <v>1.395314493180257</v>
      </c>
    </row>
    <row r="463" spans="1:10" s="1702" customFormat="1" ht="17.100000000000001" customHeight="1">
      <c r="A463" s="1756"/>
      <c r="B463" s="1831"/>
      <c r="C463" s="4517" t="s">
        <v>961</v>
      </c>
      <c r="D463" s="4517"/>
      <c r="E463" s="3286">
        <v>1019100</v>
      </c>
      <c r="F463" s="3286">
        <f>SUM(F464:F467)</f>
        <v>1019100</v>
      </c>
      <c r="G463" s="2715">
        <f>SUM(G464:G467)</f>
        <v>1421965</v>
      </c>
      <c r="H463" s="3206">
        <f t="shared" si="34"/>
        <v>1.395314493180257</v>
      </c>
    </row>
    <row r="464" spans="1:10" s="1702" customFormat="1" ht="17.100000000000001" customHeight="1">
      <c r="A464" s="1756"/>
      <c r="B464" s="1831"/>
      <c r="C464" s="3351" t="s">
        <v>613</v>
      </c>
      <c r="D464" s="3349" t="s">
        <v>960</v>
      </c>
      <c r="E464" s="3285">
        <v>119100</v>
      </c>
      <c r="F464" s="3285">
        <v>119100</v>
      </c>
      <c r="G464" s="2686">
        <v>171965</v>
      </c>
      <c r="H464" s="3184">
        <f t="shared" si="34"/>
        <v>1.443870696893367</v>
      </c>
    </row>
    <row r="465" spans="1:8" s="1702" customFormat="1" ht="17.100000000000001" customHeight="1">
      <c r="A465" s="1756"/>
      <c r="B465" s="1831"/>
      <c r="C465" s="3351" t="s">
        <v>959</v>
      </c>
      <c r="D465" s="3349" t="s">
        <v>958</v>
      </c>
      <c r="E465" s="3285">
        <v>400000</v>
      </c>
      <c r="F465" s="3285">
        <v>400000</v>
      </c>
      <c r="G465" s="2686">
        <v>300000</v>
      </c>
      <c r="H465" s="3184">
        <f t="shared" si="34"/>
        <v>0.75</v>
      </c>
    </row>
    <row r="466" spans="1:8" s="1702" customFormat="1" ht="17.100000000000001" hidden="1" customHeight="1">
      <c r="A466" s="1756"/>
      <c r="B466" s="1831"/>
      <c r="C466" s="3351" t="s">
        <v>996</v>
      </c>
      <c r="D466" s="3349" t="s">
        <v>995</v>
      </c>
      <c r="E466" s="3285">
        <v>0</v>
      </c>
      <c r="F466" s="3285"/>
      <c r="G466" s="2686"/>
      <c r="H466" s="3184" t="e">
        <f t="shared" si="34"/>
        <v>#DIV/0!</v>
      </c>
    </row>
    <row r="467" spans="1:8" s="1702" customFormat="1" ht="17.100000000000001" customHeight="1">
      <c r="A467" s="1756"/>
      <c r="B467" s="1831"/>
      <c r="C467" s="3222" t="s">
        <v>988</v>
      </c>
      <c r="D467" s="3225" t="s">
        <v>987</v>
      </c>
      <c r="E467" s="3285">
        <v>500000</v>
      </c>
      <c r="F467" s="3285">
        <v>500000</v>
      </c>
      <c r="G467" s="2870">
        <f>750000+200000</f>
        <v>950000</v>
      </c>
      <c r="H467" s="3184">
        <f t="shared" si="34"/>
        <v>1.9</v>
      </c>
    </row>
    <row r="468" spans="1:8" s="1702" customFormat="1" ht="17.100000000000001" customHeight="1" thickBot="1">
      <c r="A468" s="1831"/>
      <c r="B468" s="1831"/>
      <c r="C468" s="3273"/>
      <c r="D468" s="3272"/>
      <c r="E468" s="3285"/>
      <c r="F468" s="3285"/>
      <c r="G468" s="2686"/>
      <c r="H468" s="2617"/>
    </row>
    <row r="469" spans="1:8" s="1702" customFormat="1" ht="17.100000000000001" customHeight="1">
      <c r="A469" s="1756"/>
      <c r="B469" s="1831"/>
      <c r="C469" s="4339" t="s">
        <v>943</v>
      </c>
      <c r="D469" s="4339"/>
      <c r="E469" s="3237">
        <v>1426000</v>
      </c>
      <c r="F469" s="3237">
        <f>SUM(F470)</f>
        <v>1426000</v>
      </c>
      <c r="G469" s="1802">
        <f>SUM(G470)</f>
        <v>1568600</v>
      </c>
      <c r="H469" s="2099">
        <f t="shared" ref="H469:H502" si="35">G469/F469</f>
        <v>1.1000000000000001</v>
      </c>
    </row>
    <row r="470" spans="1:8" s="1702" customFormat="1" ht="53.25" customHeight="1" thickBot="1">
      <c r="A470" s="1756"/>
      <c r="B470" s="1831"/>
      <c r="C470" s="3222" t="s">
        <v>112</v>
      </c>
      <c r="D470" s="3225" t="s">
        <v>1346</v>
      </c>
      <c r="E470" s="3285">
        <v>1426000</v>
      </c>
      <c r="F470" s="3285">
        <v>1426000</v>
      </c>
      <c r="G470" s="2686">
        <v>1568600</v>
      </c>
      <c r="H470" s="3184">
        <f t="shared" si="35"/>
        <v>1.1000000000000001</v>
      </c>
    </row>
    <row r="471" spans="1:8" s="1702" customFormat="1" ht="13.5" hidden="1" thickBot="1">
      <c r="A471" s="1756"/>
      <c r="B471" s="1831"/>
      <c r="C471" s="3350"/>
      <c r="D471" s="3342"/>
      <c r="E471" s="3285"/>
      <c r="F471" s="3285"/>
      <c r="G471" s="2686"/>
      <c r="H471" s="3184" t="e">
        <f t="shared" si="35"/>
        <v>#DIV/0!</v>
      </c>
    </row>
    <row r="472" spans="1:8" s="1702" customFormat="1" ht="18" hidden="1" customHeight="1" thickBot="1">
      <c r="A472" s="1756"/>
      <c r="B472" s="1831"/>
      <c r="C472" s="4521" t="s">
        <v>976</v>
      </c>
      <c r="D472" s="4521"/>
      <c r="E472" s="3285">
        <v>0</v>
      </c>
      <c r="F472" s="3285"/>
      <c r="G472" s="2686"/>
      <c r="H472" s="3184" t="e">
        <f t="shared" si="35"/>
        <v>#DIV/0!</v>
      </c>
    </row>
    <row r="473" spans="1:8" s="1702" customFormat="1" ht="18" hidden="1" customHeight="1" thickBot="1">
      <c r="A473" s="1756"/>
      <c r="B473" s="1831"/>
      <c r="C473" s="3222" t="s">
        <v>479</v>
      </c>
      <c r="D473" s="3225" t="s">
        <v>1015</v>
      </c>
      <c r="E473" s="3285">
        <v>0</v>
      </c>
      <c r="F473" s="3285"/>
      <c r="G473" s="2686"/>
      <c r="H473" s="3184" t="e">
        <f t="shared" si="35"/>
        <v>#DIV/0!</v>
      </c>
    </row>
    <row r="474" spans="1:8" s="1702" customFormat="1" ht="18" hidden="1" customHeight="1" thickBot="1">
      <c r="A474" s="1756"/>
      <c r="B474" s="1831"/>
      <c r="C474" s="3222" t="s">
        <v>461</v>
      </c>
      <c r="D474" s="3225" t="s">
        <v>1015</v>
      </c>
      <c r="E474" s="3285">
        <v>0</v>
      </c>
      <c r="F474" s="3285"/>
      <c r="G474" s="2686"/>
      <c r="H474" s="3184" t="e">
        <f t="shared" si="35"/>
        <v>#DIV/0!</v>
      </c>
    </row>
    <row r="475" spans="1:8" s="1702" customFormat="1" ht="18" hidden="1" customHeight="1" thickBot="1">
      <c r="A475" s="1756"/>
      <c r="B475" s="1831"/>
      <c r="C475" s="3222" t="s">
        <v>478</v>
      </c>
      <c r="D475" s="3225" t="s">
        <v>964</v>
      </c>
      <c r="E475" s="3285">
        <v>0</v>
      </c>
      <c r="F475" s="3285"/>
      <c r="G475" s="2686"/>
      <c r="H475" s="3184" t="e">
        <f t="shared" si="35"/>
        <v>#DIV/0!</v>
      </c>
    </row>
    <row r="476" spans="1:8" s="1702" customFormat="1" ht="18" hidden="1" customHeight="1" thickBot="1">
      <c r="A476" s="1756"/>
      <c r="B476" s="1831"/>
      <c r="C476" s="3222" t="s">
        <v>459</v>
      </c>
      <c r="D476" s="3225" t="s">
        <v>964</v>
      </c>
      <c r="E476" s="3285">
        <v>0</v>
      </c>
      <c r="F476" s="3285"/>
      <c r="G476" s="2686"/>
      <c r="H476" s="3184" t="e">
        <f t="shared" si="35"/>
        <v>#DIV/0!</v>
      </c>
    </row>
    <row r="477" spans="1:8" s="1702" customFormat="1" ht="28.5" hidden="1" customHeight="1" thickBot="1">
      <c r="A477" s="1756"/>
      <c r="B477" s="1831"/>
      <c r="C477" s="3222" t="s">
        <v>477</v>
      </c>
      <c r="D477" s="3225" t="s">
        <v>1062</v>
      </c>
      <c r="E477" s="3285">
        <v>0</v>
      </c>
      <c r="F477" s="3285"/>
      <c r="G477" s="2686"/>
      <c r="H477" s="3184" t="e">
        <f t="shared" si="35"/>
        <v>#DIV/0!</v>
      </c>
    </row>
    <row r="478" spans="1:8" s="1702" customFormat="1" ht="28.5" hidden="1" customHeight="1" thickBot="1">
      <c r="A478" s="1756"/>
      <c r="B478" s="1831"/>
      <c r="C478" s="3222" t="s">
        <v>457</v>
      </c>
      <c r="D478" s="3225" t="s">
        <v>1062</v>
      </c>
      <c r="E478" s="3285">
        <v>0</v>
      </c>
      <c r="F478" s="3285"/>
      <c r="G478" s="2686"/>
      <c r="H478" s="3184" t="e">
        <f t="shared" si="35"/>
        <v>#DIV/0!</v>
      </c>
    </row>
    <row r="479" spans="1:8" s="1702" customFormat="1" ht="28.5" hidden="1" customHeight="1" thickBot="1">
      <c r="A479" s="1756"/>
      <c r="B479" s="1831"/>
      <c r="C479" s="3222" t="s">
        <v>533</v>
      </c>
      <c r="D479" s="3349" t="s">
        <v>960</v>
      </c>
      <c r="E479" s="3285">
        <v>0</v>
      </c>
      <c r="F479" s="3285"/>
      <c r="G479" s="2686"/>
      <c r="H479" s="3184" t="e">
        <f t="shared" si="35"/>
        <v>#DIV/0!</v>
      </c>
    </row>
    <row r="480" spans="1:8" s="1702" customFormat="1" ht="28.5" hidden="1" customHeight="1" thickBot="1">
      <c r="A480" s="1756"/>
      <c r="B480" s="1831"/>
      <c r="C480" s="3222" t="s">
        <v>449</v>
      </c>
      <c r="D480" s="3349" t="s">
        <v>960</v>
      </c>
      <c r="E480" s="3285">
        <v>0</v>
      </c>
      <c r="F480" s="3285"/>
      <c r="G480" s="2686"/>
      <c r="H480" s="3184" t="e">
        <f t="shared" si="35"/>
        <v>#DIV/0!</v>
      </c>
    </row>
    <row r="481" spans="1:8" s="1702" customFormat="1" ht="18" hidden="1" customHeight="1" thickBot="1">
      <c r="A481" s="1756"/>
      <c r="B481" s="1831"/>
      <c r="C481" s="3222" t="s">
        <v>529</v>
      </c>
      <c r="D481" s="3225" t="s">
        <v>958</v>
      </c>
      <c r="E481" s="3285">
        <v>0</v>
      </c>
      <c r="F481" s="3285"/>
      <c r="G481" s="2686"/>
      <c r="H481" s="3184" t="e">
        <f t="shared" si="35"/>
        <v>#DIV/0!</v>
      </c>
    </row>
    <row r="482" spans="1:8" s="1702" customFormat="1" ht="18" hidden="1" customHeight="1" thickBot="1">
      <c r="A482" s="1756"/>
      <c r="B482" s="1831"/>
      <c r="C482" s="3222" t="s">
        <v>445</v>
      </c>
      <c r="D482" s="3225" t="s">
        <v>958</v>
      </c>
      <c r="E482" s="3285">
        <v>0</v>
      </c>
      <c r="F482" s="3285"/>
      <c r="G482" s="2686"/>
      <c r="H482" s="3184" t="e">
        <f t="shared" si="35"/>
        <v>#DIV/0!</v>
      </c>
    </row>
    <row r="483" spans="1:8" s="1702" customFormat="1" ht="18" hidden="1" customHeight="1" thickBot="1">
      <c r="A483" s="1756"/>
      <c r="B483" s="1831"/>
      <c r="C483" s="3229" t="s">
        <v>1123</v>
      </c>
      <c r="D483" s="3225" t="s">
        <v>1119</v>
      </c>
      <c r="E483" s="3285">
        <v>0</v>
      </c>
      <c r="F483" s="3285"/>
      <c r="G483" s="2686"/>
      <c r="H483" s="3184" t="e">
        <f t="shared" si="35"/>
        <v>#DIV/0!</v>
      </c>
    </row>
    <row r="484" spans="1:8" s="1702" customFormat="1" ht="18" hidden="1" customHeight="1" thickBot="1">
      <c r="A484" s="1756"/>
      <c r="B484" s="1831"/>
      <c r="C484" s="3222" t="s">
        <v>527</v>
      </c>
      <c r="D484" s="3225" t="s">
        <v>1119</v>
      </c>
      <c r="E484" s="3285">
        <v>0</v>
      </c>
      <c r="F484" s="3285"/>
      <c r="G484" s="2686"/>
      <c r="H484" s="3184" t="e">
        <f t="shared" si="35"/>
        <v>#DIV/0!</v>
      </c>
    </row>
    <row r="485" spans="1:8" s="1702" customFormat="1" ht="18" hidden="1" customHeight="1" thickBot="1">
      <c r="A485" s="1756"/>
      <c r="B485" s="1831"/>
      <c r="C485" s="3222" t="s">
        <v>526</v>
      </c>
      <c r="D485" s="3225" t="s">
        <v>1119</v>
      </c>
      <c r="E485" s="3285">
        <v>0</v>
      </c>
      <c r="F485" s="3285"/>
      <c r="G485" s="2686"/>
      <c r="H485" s="3184" t="e">
        <f t="shared" si="35"/>
        <v>#DIV/0!</v>
      </c>
    </row>
    <row r="486" spans="1:8" s="1702" customFormat="1" ht="18" hidden="1" customHeight="1" thickBot="1">
      <c r="A486" s="1756"/>
      <c r="B486" s="1831"/>
      <c r="C486" s="3222" t="s">
        <v>491</v>
      </c>
      <c r="D486" s="3225" t="s">
        <v>995</v>
      </c>
      <c r="E486" s="3285">
        <v>0</v>
      </c>
      <c r="F486" s="3285"/>
      <c r="G486" s="2686"/>
      <c r="H486" s="3184" t="e">
        <f t="shared" si="35"/>
        <v>#DIV/0!</v>
      </c>
    </row>
    <row r="487" spans="1:8" s="1702" customFormat="1" ht="18" hidden="1" customHeight="1" thickBot="1">
      <c r="A487" s="1756"/>
      <c r="B487" s="1831"/>
      <c r="C487" s="3222" t="s">
        <v>524</v>
      </c>
      <c r="D487" s="3225" t="s">
        <v>991</v>
      </c>
      <c r="E487" s="3285">
        <v>0</v>
      </c>
      <c r="F487" s="3285"/>
      <c r="G487" s="2686"/>
      <c r="H487" s="3184" t="e">
        <f t="shared" si="35"/>
        <v>#DIV/0!</v>
      </c>
    </row>
    <row r="488" spans="1:8" s="1702" customFormat="1" ht="18" hidden="1" customHeight="1" thickBot="1">
      <c r="A488" s="1756"/>
      <c r="B488" s="1831"/>
      <c r="C488" s="3222" t="s">
        <v>466</v>
      </c>
      <c r="D488" s="3225" t="s">
        <v>991</v>
      </c>
      <c r="E488" s="3285">
        <v>0</v>
      </c>
      <c r="F488" s="3285"/>
      <c r="G488" s="2686"/>
      <c r="H488" s="3184" t="e">
        <f t="shared" si="35"/>
        <v>#DIV/0!</v>
      </c>
    </row>
    <row r="489" spans="1:8" s="1702" customFormat="1" ht="18" hidden="1" customHeight="1" thickBot="1">
      <c r="A489" s="1756"/>
      <c r="B489" s="1831"/>
      <c r="C489" s="3222" t="s">
        <v>575</v>
      </c>
      <c r="D489" s="3225" t="s">
        <v>989</v>
      </c>
      <c r="E489" s="3285">
        <v>0</v>
      </c>
      <c r="F489" s="3285"/>
      <c r="G489" s="2686"/>
      <c r="H489" s="3184" t="e">
        <f t="shared" si="35"/>
        <v>#DIV/0!</v>
      </c>
    </row>
    <row r="490" spans="1:8" s="1702" customFormat="1" ht="18" hidden="1" customHeight="1" thickBot="1">
      <c r="A490" s="1756"/>
      <c r="B490" s="1831"/>
      <c r="C490" s="3222" t="s">
        <v>574</v>
      </c>
      <c r="D490" s="3225" t="s">
        <v>989</v>
      </c>
      <c r="E490" s="3285">
        <v>0</v>
      </c>
      <c r="F490" s="3285"/>
      <c r="G490" s="2686"/>
      <c r="H490" s="3184" t="e">
        <f t="shared" si="35"/>
        <v>#DIV/0!</v>
      </c>
    </row>
    <row r="491" spans="1:8" s="1702" customFormat="1" ht="18" hidden="1" customHeight="1" thickBot="1">
      <c r="A491" s="1756"/>
      <c r="B491" s="1831"/>
      <c r="C491" s="4567"/>
      <c r="D491" s="4568"/>
      <c r="E491" s="3237"/>
      <c r="F491" s="3285"/>
      <c r="G491" s="2686"/>
      <c r="H491" s="3184" t="e">
        <f t="shared" si="35"/>
        <v>#DIV/0!</v>
      </c>
    </row>
    <row r="492" spans="1:8" s="1702" customFormat="1" ht="16.5" hidden="1" customHeight="1" thickBot="1">
      <c r="A492" s="1756"/>
      <c r="B492" s="1831"/>
      <c r="C492" s="4539" t="s">
        <v>941</v>
      </c>
      <c r="D492" s="4540"/>
      <c r="E492" s="3300">
        <v>0</v>
      </c>
      <c r="F492" s="3285"/>
      <c r="G492" s="2686"/>
      <c r="H492" s="3184" t="e">
        <f t="shared" si="35"/>
        <v>#DIV/0!</v>
      </c>
    </row>
    <row r="493" spans="1:8" s="1702" customFormat="1" ht="16.5" hidden="1" customHeight="1" thickBot="1">
      <c r="A493" s="1756"/>
      <c r="B493" s="1831"/>
      <c r="C493" s="4339" t="s">
        <v>1354</v>
      </c>
      <c r="D493" s="4339"/>
      <c r="E493" s="3285">
        <v>0</v>
      </c>
      <c r="F493" s="3285"/>
      <c r="G493" s="2686"/>
      <c r="H493" s="3184" t="e">
        <f t="shared" si="35"/>
        <v>#DIV/0!</v>
      </c>
    </row>
    <row r="494" spans="1:8" s="1702" customFormat="1" ht="39" hidden="1" thickBot="1">
      <c r="A494" s="1756"/>
      <c r="B494" s="1831"/>
      <c r="C494" s="3186" t="s">
        <v>939</v>
      </c>
      <c r="D494" s="3221" t="s">
        <v>938</v>
      </c>
      <c r="E494" s="2636">
        <v>0</v>
      </c>
      <c r="F494" s="3285"/>
      <c r="G494" s="2686"/>
      <c r="H494" s="3282" t="e">
        <f t="shared" si="35"/>
        <v>#DIV/0!</v>
      </c>
    </row>
    <row r="495" spans="1:8" s="1702" customFormat="1" ht="17.100000000000001" customHeight="1" thickBot="1">
      <c r="A495" s="1756"/>
      <c r="B495" s="1768" t="s">
        <v>1380</v>
      </c>
      <c r="C495" s="1839"/>
      <c r="D495" s="1838" t="s">
        <v>50</v>
      </c>
      <c r="E495" s="1818">
        <v>3599860</v>
      </c>
      <c r="F495" s="1818">
        <f>SUM(F496,F537)</f>
        <v>566748</v>
      </c>
      <c r="G495" s="1817">
        <f>SUM(G496,G537)</f>
        <v>587142</v>
      </c>
      <c r="H495" s="1763">
        <f t="shared" si="35"/>
        <v>1.0359842469669058</v>
      </c>
    </row>
    <row r="496" spans="1:8" s="1702" customFormat="1" ht="17.100000000000001" customHeight="1">
      <c r="A496" s="1756"/>
      <c r="B496" s="3348"/>
      <c r="C496" s="4569" t="s">
        <v>944</v>
      </c>
      <c r="D496" s="4372"/>
      <c r="E496" s="3328">
        <v>3599860</v>
      </c>
      <c r="F496" s="3347">
        <f>SUM(F497,F518)</f>
        <v>483151</v>
      </c>
      <c r="G496" s="2838">
        <f>SUM(G497,G518)</f>
        <v>587142</v>
      </c>
      <c r="H496" s="2537">
        <f t="shared" si="35"/>
        <v>1.2152349886474414</v>
      </c>
    </row>
    <row r="497" spans="1:10" s="1702" customFormat="1" ht="16.5" customHeight="1">
      <c r="A497" s="1756"/>
      <c r="B497" s="3343"/>
      <c r="C497" s="4559" t="s">
        <v>967</v>
      </c>
      <c r="D497" s="4560"/>
      <c r="E497" s="3330">
        <v>483151</v>
      </c>
      <c r="F497" s="3330">
        <f>SUM(F498,F506)</f>
        <v>483151</v>
      </c>
      <c r="G497" s="3346">
        <f>SUM(G498,G506)</f>
        <v>587142</v>
      </c>
      <c r="H497" s="3184">
        <f t="shared" si="35"/>
        <v>1.2152349886474414</v>
      </c>
    </row>
    <row r="498" spans="1:10" s="1702" customFormat="1" ht="16.5" customHeight="1">
      <c r="A498" s="1756"/>
      <c r="B498" s="3343"/>
      <c r="C498" s="4545" t="s">
        <v>966</v>
      </c>
      <c r="D498" s="4545"/>
      <c r="E498" s="3286">
        <v>473151</v>
      </c>
      <c r="F498" s="3286">
        <f>SUM(F499:F504)</f>
        <v>473151</v>
      </c>
      <c r="G498" s="2715">
        <f>SUM(G499:G504)</f>
        <v>577142</v>
      </c>
      <c r="H498" s="3206">
        <f t="shared" si="35"/>
        <v>1.219783959032106</v>
      </c>
      <c r="J498" s="1702" t="s">
        <v>1064</v>
      </c>
    </row>
    <row r="499" spans="1:10" s="1702" customFormat="1" ht="16.5" customHeight="1">
      <c r="A499" s="1756"/>
      <c r="B499" s="3343"/>
      <c r="C499" s="3222" t="s">
        <v>1016</v>
      </c>
      <c r="D499" s="3225" t="s">
        <v>1015</v>
      </c>
      <c r="E499" s="3285">
        <v>370849</v>
      </c>
      <c r="F499" s="3285">
        <v>370709</v>
      </c>
      <c r="G499" s="3193">
        <v>456448</v>
      </c>
      <c r="H499" s="3184">
        <f t="shared" si="35"/>
        <v>1.2312838371876593</v>
      </c>
    </row>
    <row r="500" spans="1:10" s="1702" customFormat="1" ht="16.5" customHeight="1">
      <c r="A500" s="1756"/>
      <c r="B500" s="3343"/>
      <c r="C500" s="3222" t="s">
        <v>1014</v>
      </c>
      <c r="D500" s="3225" t="s">
        <v>1013</v>
      </c>
      <c r="E500" s="3285">
        <v>24692</v>
      </c>
      <c r="F500" s="3285">
        <v>24832</v>
      </c>
      <c r="G500" s="3193">
        <v>28278</v>
      </c>
      <c r="H500" s="3184">
        <f t="shared" si="35"/>
        <v>1.1387725515463918</v>
      </c>
    </row>
    <row r="501" spans="1:10" s="1702" customFormat="1" ht="16.5" customHeight="1">
      <c r="A501" s="1756"/>
      <c r="B501" s="3343"/>
      <c r="C501" s="3222" t="s">
        <v>965</v>
      </c>
      <c r="D501" s="3225" t="s">
        <v>964</v>
      </c>
      <c r="E501" s="3285">
        <v>64420</v>
      </c>
      <c r="F501" s="3285">
        <v>64420</v>
      </c>
      <c r="G501" s="3193">
        <v>76003</v>
      </c>
      <c r="H501" s="3184">
        <f t="shared" si="35"/>
        <v>1.1798044085687676</v>
      </c>
    </row>
    <row r="502" spans="1:10" s="1702" customFormat="1" ht="17.25" customHeight="1">
      <c r="A502" s="1831"/>
      <c r="B502" s="3343"/>
      <c r="C502" s="3268" t="s">
        <v>963</v>
      </c>
      <c r="D502" s="3272" t="s">
        <v>962</v>
      </c>
      <c r="E502" s="3285">
        <v>9690</v>
      </c>
      <c r="F502" s="3285">
        <v>9690</v>
      </c>
      <c r="G502" s="3193">
        <v>12544</v>
      </c>
      <c r="H502" s="3184">
        <f t="shared" si="35"/>
        <v>1.29453044375645</v>
      </c>
    </row>
    <row r="503" spans="1:10" s="1702" customFormat="1" ht="16.5" hidden="1" customHeight="1">
      <c r="A503" s="1756"/>
      <c r="B503" s="3343"/>
      <c r="C503" s="3345" t="s">
        <v>974</v>
      </c>
      <c r="D503" s="2689" t="s">
        <v>973</v>
      </c>
      <c r="E503" s="3237">
        <v>0</v>
      </c>
      <c r="F503" s="3285"/>
      <c r="G503" s="3344"/>
      <c r="H503" s="3184" t="e">
        <f>G504/F503</f>
        <v>#DIV/0!</v>
      </c>
    </row>
    <row r="504" spans="1:10" s="1702" customFormat="1" ht="16.5" customHeight="1">
      <c r="A504" s="1756"/>
      <c r="B504" s="3343"/>
      <c r="C504" s="3292" t="s">
        <v>1012</v>
      </c>
      <c r="D504" s="3225" t="s">
        <v>1011</v>
      </c>
      <c r="E504" s="3285">
        <v>3500</v>
      </c>
      <c r="F504" s="3285">
        <v>3500</v>
      </c>
      <c r="G504" s="3193">
        <v>3869</v>
      </c>
      <c r="H504" s="3184">
        <f>G504/F504</f>
        <v>1.1054285714285714</v>
      </c>
    </row>
    <row r="505" spans="1:10" s="1702" customFormat="1" ht="13.5" customHeight="1">
      <c r="A505" s="1756"/>
      <c r="B505" s="3343"/>
      <c r="C505" s="4561"/>
      <c r="D505" s="4562"/>
      <c r="E505" s="3704"/>
      <c r="F505" s="3705"/>
      <c r="G505" s="2735"/>
      <c r="H505" s="3184"/>
    </row>
    <row r="506" spans="1:10" s="1702" customFormat="1" ht="16.5" customHeight="1" thickBot="1">
      <c r="A506" s="1743"/>
      <c r="B506" s="3341"/>
      <c r="C506" s="4563" t="s">
        <v>961</v>
      </c>
      <c r="D506" s="4563"/>
      <c r="E506" s="3706">
        <v>10000</v>
      </c>
      <c r="F506" s="3707">
        <f>SUM(F508)</f>
        <v>10000</v>
      </c>
      <c r="G506" s="3708">
        <f>SUM(G508)</f>
        <v>10000</v>
      </c>
      <c r="H506" s="3206">
        <f t="shared" ref="H506:H516" si="36">G506/F506</f>
        <v>1</v>
      </c>
    </row>
    <row r="507" spans="1:10" s="1702" customFormat="1" ht="16.5" hidden="1" customHeight="1">
      <c r="A507" s="1756"/>
      <c r="B507" s="3343"/>
      <c r="C507" s="3703" t="s">
        <v>1048</v>
      </c>
      <c r="D507" s="2130" t="s">
        <v>1047</v>
      </c>
      <c r="E507" s="1776">
        <v>0</v>
      </c>
      <c r="F507" s="2500"/>
      <c r="G507" s="1802"/>
      <c r="H507" s="3184" t="e">
        <f t="shared" si="36"/>
        <v>#DIV/0!</v>
      </c>
    </row>
    <row r="508" spans="1:10" s="1702" customFormat="1" ht="16.5" customHeight="1" thickBot="1">
      <c r="A508" s="1743"/>
      <c r="B508" s="3341"/>
      <c r="C508" s="3277" t="s">
        <v>959</v>
      </c>
      <c r="D508" s="3340" t="s">
        <v>958</v>
      </c>
      <c r="E508" s="2834">
        <v>10000</v>
      </c>
      <c r="F508" s="2636">
        <v>10000</v>
      </c>
      <c r="G508" s="1738">
        <v>10000</v>
      </c>
      <c r="H508" s="3184">
        <f t="shared" si="36"/>
        <v>1</v>
      </c>
      <c r="J508" s="1702" t="s">
        <v>1328</v>
      </c>
    </row>
    <row r="509" spans="1:10" s="1702" customFormat="1" ht="14.25" hidden="1" customHeight="1">
      <c r="A509" s="1756"/>
      <c r="B509" s="3329"/>
      <c r="C509" s="3339" t="s">
        <v>996</v>
      </c>
      <c r="D509" s="3207" t="s">
        <v>995</v>
      </c>
      <c r="E509" s="1776">
        <v>0</v>
      </c>
      <c r="F509" s="2500"/>
      <c r="G509" s="1802"/>
      <c r="H509" s="3184" t="e">
        <f t="shared" si="36"/>
        <v>#DIV/0!</v>
      </c>
    </row>
    <row r="510" spans="1:10" s="1702" customFormat="1" ht="16.5" hidden="1" customHeight="1">
      <c r="A510" s="1756"/>
      <c r="B510" s="3329"/>
      <c r="C510" s="3338" t="s">
        <v>986</v>
      </c>
      <c r="D510" s="3337" t="s">
        <v>985</v>
      </c>
      <c r="E510" s="3327">
        <v>0</v>
      </c>
      <c r="F510" s="3285"/>
      <c r="G510" s="2686"/>
      <c r="H510" s="3184" t="e">
        <f t="shared" si="36"/>
        <v>#DIV/0!</v>
      </c>
    </row>
    <row r="511" spans="1:10" s="1702" customFormat="1" ht="17.25" hidden="1" customHeight="1">
      <c r="A511" s="1756"/>
      <c r="B511" s="3329"/>
      <c r="C511" s="3336" t="s">
        <v>1239</v>
      </c>
      <c r="D511" s="3274" t="s">
        <v>1238</v>
      </c>
      <c r="E511" s="3327">
        <v>0</v>
      </c>
      <c r="F511" s="3285"/>
      <c r="G511" s="2686"/>
      <c r="H511" s="3184" t="e">
        <f t="shared" si="36"/>
        <v>#DIV/0!</v>
      </c>
    </row>
    <row r="512" spans="1:10" s="1702" customFormat="1" ht="28.5" hidden="1" customHeight="1">
      <c r="A512" s="1756"/>
      <c r="B512" s="3329"/>
      <c r="C512" s="3335" t="s">
        <v>1365</v>
      </c>
      <c r="D512" s="3274" t="s">
        <v>1364</v>
      </c>
      <c r="E512" s="3327">
        <v>0</v>
      </c>
      <c r="F512" s="3285"/>
      <c r="G512" s="2686"/>
      <c r="H512" s="3184" t="e">
        <f t="shared" si="36"/>
        <v>#DIV/0!</v>
      </c>
    </row>
    <row r="513" spans="1:8" s="1702" customFormat="1" ht="21" hidden="1" customHeight="1">
      <c r="A513" s="1756"/>
      <c r="B513" s="3329"/>
      <c r="C513" s="3335" t="s">
        <v>1122</v>
      </c>
      <c r="D513" s="3274" t="s">
        <v>1118</v>
      </c>
      <c r="E513" s="3327">
        <v>0</v>
      </c>
      <c r="F513" s="3285"/>
      <c r="G513" s="2686"/>
      <c r="H513" s="3184" t="e">
        <f t="shared" si="36"/>
        <v>#DIV/0!</v>
      </c>
    </row>
    <row r="514" spans="1:8" s="1702" customFormat="1" ht="14.25" hidden="1" customHeight="1">
      <c r="A514" s="1756"/>
      <c r="B514" s="3329"/>
      <c r="C514" s="3334"/>
      <c r="D514" s="3333"/>
      <c r="E514" s="3327"/>
      <c r="F514" s="3285"/>
      <c r="G514" s="2686"/>
      <c r="H514" s="3184" t="e">
        <f t="shared" si="36"/>
        <v>#DIV/0!</v>
      </c>
    </row>
    <row r="515" spans="1:8" s="1702" customFormat="1" ht="16.5" hidden="1" customHeight="1">
      <c r="A515" s="1756"/>
      <c r="B515" s="3329"/>
      <c r="C515" s="4522" t="s">
        <v>943</v>
      </c>
      <c r="D515" s="4522"/>
      <c r="E515" s="3330">
        <v>0</v>
      </c>
      <c r="F515" s="3285"/>
      <c r="G515" s="2686"/>
      <c r="H515" s="3184" t="e">
        <f t="shared" si="36"/>
        <v>#DIV/0!</v>
      </c>
    </row>
    <row r="516" spans="1:8" s="1702" customFormat="1" ht="39.75" hidden="1" customHeight="1">
      <c r="A516" s="1756"/>
      <c r="B516" s="3329"/>
      <c r="C516" s="3222" t="s">
        <v>89</v>
      </c>
      <c r="D516" s="3225" t="s">
        <v>1314</v>
      </c>
      <c r="E516" s="3327">
        <v>0</v>
      </c>
      <c r="F516" s="3285"/>
      <c r="G516" s="2686"/>
      <c r="H516" s="3184" t="e">
        <f t="shared" si="36"/>
        <v>#DIV/0!</v>
      </c>
    </row>
    <row r="517" spans="1:8" s="1702" customFormat="1" ht="21" hidden="1" customHeight="1">
      <c r="A517" s="1756"/>
      <c r="B517" s="3329"/>
      <c r="C517" s="3332"/>
      <c r="D517" s="2790"/>
      <c r="E517" s="3330"/>
      <c r="F517" s="3285"/>
      <c r="G517" s="2686"/>
      <c r="H517" s="3184"/>
    </row>
    <row r="518" spans="1:8" s="1702" customFormat="1" ht="18.75" hidden="1" customHeight="1">
      <c r="A518" s="1756"/>
      <c r="B518" s="3323"/>
      <c r="C518" s="4564" t="s">
        <v>976</v>
      </c>
      <c r="D518" s="4362"/>
      <c r="E518" s="1776">
        <v>3116709</v>
      </c>
      <c r="F518" s="1776">
        <v>0</v>
      </c>
      <c r="G518" s="1775">
        <v>0</v>
      </c>
      <c r="H518" s="3184"/>
    </row>
    <row r="519" spans="1:8" s="1702" customFormat="1" ht="49.5" hidden="1" customHeight="1">
      <c r="A519" s="1756"/>
      <c r="B519" s="3323"/>
      <c r="C519" s="3268" t="s">
        <v>1379</v>
      </c>
      <c r="D519" s="3272" t="s">
        <v>1136</v>
      </c>
      <c r="E519" s="3327">
        <v>0</v>
      </c>
      <c r="F519" s="3285"/>
      <c r="G519" s="2686"/>
      <c r="H519" s="3184"/>
    </row>
    <row r="520" spans="1:8" s="1702" customFormat="1" ht="20.25" hidden="1" customHeight="1">
      <c r="A520" s="1756"/>
      <c r="B520" s="3323"/>
      <c r="C520" s="2733" t="s">
        <v>1378</v>
      </c>
      <c r="D520" s="2790" t="s">
        <v>1015</v>
      </c>
      <c r="E520" s="3327">
        <v>0</v>
      </c>
      <c r="F520" s="3285"/>
      <c r="G520" s="2686"/>
      <c r="H520" s="3184"/>
    </row>
    <row r="521" spans="1:8" s="1702" customFormat="1" ht="20.25" hidden="1" customHeight="1">
      <c r="A521" s="1756"/>
      <c r="B521" s="3323"/>
      <c r="C521" s="2733" t="s">
        <v>1225</v>
      </c>
      <c r="D521" s="2790" t="s">
        <v>1015</v>
      </c>
      <c r="E521" s="3327">
        <v>0</v>
      </c>
      <c r="F521" s="3285"/>
      <c r="G521" s="2686"/>
      <c r="H521" s="3184"/>
    </row>
    <row r="522" spans="1:8" s="1702" customFormat="1" ht="18.75" hidden="1" customHeight="1">
      <c r="A522" s="1756"/>
      <c r="B522" s="3323"/>
      <c r="C522" s="2733" t="s">
        <v>1377</v>
      </c>
      <c r="D522" s="2790" t="s">
        <v>964</v>
      </c>
      <c r="E522" s="3327">
        <v>0</v>
      </c>
      <c r="F522" s="3285"/>
      <c r="G522" s="2686"/>
      <c r="H522" s="3184"/>
    </row>
    <row r="523" spans="1:8" s="1702" customFormat="1" ht="20.25" hidden="1" customHeight="1">
      <c r="A523" s="1756"/>
      <c r="B523" s="3323"/>
      <c r="C523" s="2696" t="s">
        <v>1224</v>
      </c>
      <c r="D523" s="3331" t="s">
        <v>964</v>
      </c>
      <c r="E523" s="3327">
        <v>0</v>
      </c>
      <c r="F523" s="3285"/>
      <c r="G523" s="2686"/>
      <c r="H523" s="3184"/>
    </row>
    <row r="524" spans="1:8" s="1702" customFormat="1" ht="27.75" hidden="1" customHeight="1">
      <c r="A524" s="1756"/>
      <c r="B524" s="3323"/>
      <c r="C524" s="2696" t="s">
        <v>1376</v>
      </c>
      <c r="D524" s="3331" t="s">
        <v>1062</v>
      </c>
      <c r="E524" s="3327">
        <v>0</v>
      </c>
      <c r="F524" s="3285"/>
      <c r="G524" s="2686"/>
      <c r="H524" s="3184"/>
    </row>
    <row r="525" spans="1:8" s="1702" customFormat="1" ht="27" hidden="1" customHeight="1">
      <c r="A525" s="1756"/>
      <c r="B525" s="3323"/>
      <c r="C525" s="2696" t="s">
        <v>1223</v>
      </c>
      <c r="D525" s="3331" t="s">
        <v>1062</v>
      </c>
      <c r="E525" s="3327">
        <v>0</v>
      </c>
      <c r="F525" s="3285"/>
      <c r="G525" s="2686"/>
      <c r="H525" s="3184"/>
    </row>
    <row r="526" spans="1:8" s="1702" customFormat="1" ht="18" hidden="1" customHeight="1">
      <c r="A526" s="1756"/>
      <c r="B526" s="3323"/>
      <c r="C526" s="2696" t="s">
        <v>1375</v>
      </c>
      <c r="D526" s="3331" t="s">
        <v>960</v>
      </c>
      <c r="E526" s="3327">
        <v>0</v>
      </c>
      <c r="F526" s="3285"/>
      <c r="G526" s="2686"/>
      <c r="H526" s="3184"/>
    </row>
    <row r="527" spans="1:8" s="1702" customFormat="1" ht="18" hidden="1" customHeight="1">
      <c r="A527" s="1756"/>
      <c r="B527" s="3323"/>
      <c r="C527" s="2696" t="s">
        <v>1221</v>
      </c>
      <c r="D527" s="3331" t="s">
        <v>960</v>
      </c>
      <c r="E527" s="3327">
        <v>0</v>
      </c>
      <c r="F527" s="3285"/>
      <c r="G527" s="2686"/>
      <c r="H527" s="3184"/>
    </row>
    <row r="528" spans="1:8" s="1702" customFormat="1" ht="18" hidden="1" customHeight="1">
      <c r="A528" s="1756"/>
      <c r="B528" s="3323"/>
      <c r="C528" s="2733" t="s">
        <v>1374</v>
      </c>
      <c r="D528" s="3331" t="s">
        <v>958</v>
      </c>
      <c r="E528" s="3327">
        <v>3030369</v>
      </c>
      <c r="F528" s="3285">
        <v>0</v>
      </c>
      <c r="G528" s="2686">
        <v>0</v>
      </c>
      <c r="H528" s="3184"/>
    </row>
    <row r="529" spans="1:8" s="1702" customFormat="1" ht="18" hidden="1" customHeight="1">
      <c r="A529" s="1756"/>
      <c r="B529" s="3323"/>
      <c r="C529" s="2733" t="s">
        <v>1219</v>
      </c>
      <c r="D529" s="3331" t="s">
        <v>958</v>
      </c>
      <c r="E529" s="3327">
        <v>86340</v>
      </c>
      <c r="F529" s="3285">
        <v>0</v>
      </c>
      <c r="G529" s="2686">
        <v>0</v>
      </c>
      <c r="H529" s="3184"/>
    </row>
    <row r="530" spans="1:8" s="1702" customFormat="1" ht="18" hidden="1" customHeight="1">
      <c r="A530" s="1756"/>
      <c r="B530" s="3323"/>
      <c r="C530" s="3000" t="s">
        <v>1373</v>
      </c>
      <c r="D530" s="3331" t="s">
        <v>1119</v>
      </c>
      <c r="E530" s="3327">
        <v>0</v>
      </c>
      <c r="F530" s="3285"/>
      <c r="G530" s="2686"/>
      <c r="H530" s="3184"/>
    </row>
    <row r="531" spans="1:8" s="1702" customFormat="1" ht="18" hidden="1" customHeight="1" thickBot="1">
      <c r="A531" s="1756"/>
      <c r="B531" s="3323"/>
      <c r="C531" s="3000" t="s">
        <v>1213</v>
      </c>
      <c r="D531" s="3331" t="s">
        <v>1119</v>
      </c>
      <c r="E531" s="3327">
        <v>0</v>
      </c>
      <c r="F531" s="3285"/>
      <c r="G531" s="2686"/>
      <c r="H531" s="3184"/>
    </row>
    <row r="532" spans="1:8" s="1702" customFormat="1" ht="18.75" hidden="1" customHeight="1" thickBot="1">
      <c r="A532" s="1756"/>
      <c r="B532" s="3323"/>
      <c r="C532" s="2733" t="s">
        <v>1372</v>
      </c>
      <c r="D532" s="3331" t="s">
        <v>991</v>
      </c>
      <c r="E532" s="3327">
        <v>0</v>
      </c>
      <c r="F532" s="3285"/>
      <c r="G532" s="2686"/>
      <c r="H532" s="3184"/>
    </row>
    <row r="533" spans="1:8" s="1702" customFormat="1" ht="20.25" hidden="1" customHeight="1" thickBot="1">
      <c r="A533" s="1756"/>
      <c r="B533" s="3323"/>
      <c r="C533" s="2733" t="s">
        <v>1212</v>
      </c>
      <c r="D533" s="3331" t="s">
        <v>991</v>
      </c>
      <c r="E533" s="3327">
        <v>0</v>
      </c>
      <c r="F533" s="3285"/>
      <c r="G533" s="2686"/>
      <c r="H533" s="3184"/>
    </row>
    <row r="534" spans="1:8" s="1702" customFormat="1" ht="19.5" hidden="1" customHeight="1" thickBot="1">
      <c r="A534" s="1756"/>
      <c r="B534" s="3323"/>
      <c r="C534" s="2733" t="s">
        <v>1371</v>
      </c>
      <c r="D534" s="3331" t="s">
        <v>989</v>
      </c>
      <c r="E534" s="3327">
        <v>0</v>
      </c>
      <c r="F534" s="3285"/>
      <c r="G534" s="2686"/>
      <c r="H534" s="3184"/>
    </row>
    <row r="535" spans="1:8" s="1702" customFormat="1" ht="18" hidden="1" customHeight="1" thickBot="1">
      <c r="A535" s="1756"/>
      <c r="B535" s="3323"/>
      <c r="C535" s="2696" t="s">
        <v>1370</v>
      </c>
      <c r="D535" s="3331" t="s">
        <v>989</v>
      </c>
      <c r="E535" s="3327">
        <v>0</v>
      </c>
      <c r="F535" s="3285"/>
      <c r="G535" s="2686"/>
      <c r="H535" s="3184"/>
    </row>
    <row r="536" spans="1:8" s="1702" customFormat="1" ht="16.5" hidden="1" customHeight="1">
      <c r="A536" s="1756"/>
      <c r="B536" s="3323"/>
      <c r="C536" s="3322"/>
      <c r="D536" s="3331"/>
      <c r="E536" s="3330"/>
      <c r="F536" s="3285"/>
      <c r="G536" s="2686"/>
      <c r="H536" s="3184"/>
    </row>
    <row r="537" spans="1:8" s="1702" customFormat="1" ht="16.5" hidden="1" customHeight="1">
      <c r="A537" s="1831"/>
      <c r="B537" s="3329"/>
      <c r="C537" s="4565" t="s">
        <v>941</v>
      </c>
      <c r="D537" s="4566"/>
      <c r="E537" s="3328">
        <v>0</v>
      </c>
      <c r="F537" s="3328">
        <f>F538</f>
        <v>83597</v>
      </c>
      <c r="G537" s="2838">
        <f>G538</f>
        <v>0</v>
      </c>
      <c r="H537" s="2537">
        <f t="shared" ref="H537:H549" si="37">G537/F537</f>
        <v>0</v>
      </c>
    </row>
    <row r="538" spans="1:8" s="1702" customFormat="1" ht="16.5" hidden="1" customHeight="1">
      <c r="A538" s="1756"/>
      <c r="B538" s="3323"/>
      <c r="C538" s="4550" t="s">
        <v>940</v>
      </c>
      <c r="D538" s="4556"/>
      <c r="E538" s="3327">
        <v>0</v>
      </c>
      <c r="F538" s="3327">
        <f>F539</f>
        <v>83597</v>
      </c>
      <c r="G538" s="3250">
        <f>G539</f>
        <v>0</v>
      </c>
      <c r="H538" s="3184">
        <f t="shared" si="37"/>
        <v>0</v>
      </c>
    </row>
    <row r="539" spans="1:8" s="1702" customFormat="1" ht="66" hidden="1" customHeight="1" thickBot="1">
      <c r="A539" s="1847"/>
      <c r="B539" s="3326"/>
      <c r="C539" s="3325" t="s">
        <v>186</v>
      </c>
      <c r="D539" s="3324" t="s">
        <v>1133</v>
      </c>
      <c r="E539" s="2834">
        <v>0</v>
      </c>
      <c r="F539" s="2636">
        <v>83597</v>
      </c>
      <c r="G539" s="1738">
        <v>0</v>
      </c>
      <c r="H539" s="2617">
        <f t="shared" si="37"/>
        <v>0</v>
      </c>
    </row>
    <row r="540" spans="1:8" s="1702" customFormat="1" ht="39.75" hidden="1" customHeight="1" thickBot="1">
      <c r="A540" s="1756"/>
      <c r="B540" s="3323"/>
      <c r="C540" s="3305" t="s">
        <v>939</v>
      </c>
      <c r="D540" s="1864" t="s">
        <v>938</v>
      </c>
      <c r="E540" s="1776">
        <v>0</v>
      </c>
      <c r="F540" s="1877"/>
      <c r="G540" s="1876"/>
      <c r="H540" s="1731" t="e">
        <f t="shared" si="37"/>
        <v>#DIV/0!</v>
      </c>
    </row>
    <row r="541" spans="1:8" s="1702" customFormat="1" ht="17.100000000000001" customHeight="1" thickBot="1">
      <c r="A541" s="1844" t="s">
        <v>1369</v>
      </c>
      <c r="B541" s="2525"/>
      <c r="C541" s="2524"/>
      <c r="D541" s="2523" t="s">
        <v>1368</v>
      </c>
      <c r="E541" s="2522">
        <f>SUM(E542,E570)</f>
        <v>1296086</v>
      </c>
      <c r="F541" s="2522">
        <f>SUM(F542,F570)</f>
        <v>14932207</v>
      </c>
      <c r="G541" s="2521">
        <f>SUM(G542,G570)</f>
        <v>1784713</v>
      </c>
      <c r="H541" s="1735">
        <f t="shared" si="37"/>
        <v>0.1195210460181807</v>
      </c>
    </row>
    <row r="542" spans="1:8" s="1702" customFormat="1" ht="17.100000000000001" customHeight="1" thickBot="1">
      <c r="A542" s="1886"/>
      <c r="B542" s="1768" t="s">
        <v>640</v>
      </c>
      <c r="C542" s="1839"/>
      <c r="D542" s="1838" t="s">
        <v>136</v>
      </c>
      <c r="E542" s="1818">
        <f>SUM(E543,E562)</f>
        <v>1296086</v>
      </c>
      <c r="F542" s="1818">
        <f>SUM(F543,F562)</f>
        <v>14893207</v>
      </c>
      <c r="G542" s="1817">
        <f>SUM(G543,G562)</f>
        <v>1784713</v>
      </c>
      <c r="H542" s="1763">
        <f t="shared" si="37"/>
        <v>0.11983402903081922</v>
      </c>
    </row>
    <row r="543" spans="1:8" s="1702" customFormat="1" ht="17.100000000000001" customHeight="1">
      <c r="A543" s="1756"/>
      <c r="B543" s="3053"/>
      <c r="C543" s="4098" t="s">
        <v>944</v>
      </c>
      <c r="D543" s="4099"/>
      <c r="E543" s="3060">
        <f>SUM(E544,E559)</f>
        <v>441050</v>
      </c>
      <c r="F543" s="3060">
        <f>SUM(F544,F559)</f>
        <v>1501662</v>
      </c>
      <c r="G543" s="2094">
        <f>SUM(G544,G559)</f>
        <v>620350</v>
      </c>
      <c r="H543" s="2537">
        <f t="shared" si="37"/>
        <v>0.41310894195897613</v>
      </c>
    </row>
    <row r="544" spans="1:8" s="1702" customFormat="1" ht="17.100000000000001" customHeight="1">
      <c r="A544" s="1756"/>
      <c r="B544" s="3053"/>
      <c r="C544" s="4551" t="s">
        <v>967</v>
      </c>
      <c r="D544" s="4552"/>
      <c r="E544" s="3285">
        <f>SUM(E545)</f>
        <v>441050</v>
      </c>
      <c r="F544" s="3285">
        <f>SUM(F545)</f>
        <v>1375662</v>
      </c>
      <c r="G544" s="2686">
        <f>SUM(G545)</f>
        <v>620350</v>
      </c>
      <c r="H544" s="3184">
        <f t="shared" si="37"/>
        <v>0.4509465261088843</v>
      </c>
    </row>
    <row r="545" spans="1:10" s="1702" customFormat="1" ht="17.100000000000001" customHeight="1">
      <c r="A545" s="1756"/>
      <c r="B545" s="3053"/>
      <c r="C545" s="4553" t="s">
        <v>961</v>
      </c>
      <c r="D545" s="4554"/>
      <c r="E545" s="3286">
        <f>SUM(E546:E557)</f>
        <v>441050</v>
      </c>
      <c r="F545" s="3286">
        <f>SUM(F546:F557)</f>
        <v>1375662</v>
      </c>
      <c r="G545" s="2715">
        <f>SUM(G546:G557)</f>
        <v>620350</v>
      </c>
      <c r="H545" s="3206">
        <f t="shared" si="37"/>
        <v>0.4509465261088843</v>
      </c>
    </row>
    <row r="546" spans="1:10" s="1702" customFormat="1" ht="17.100000000000001" customHeight="1">
      <c r="A546" s="1756"/>
      <c r="B546" s="1756"/>
      <c r="C546" s="3263" t="s">
        <v>613</v>
      </c>
      <c r="D546" s="3185" t="s">
        <v>960</v>
      </c>
      <c r="E546" s="3285">
        <v>10000</v>
      </c>
      <c r="F546" s="3285">
        <v>10000</v>
      </c>
      <c r="G546" s="2686">
        <v>10000</v>
      </c>
      <c r="H546" s="3184">
        <f t="shared" si="37"/>
        <v>1</v>
      </c>
      <c r="J546" s="1702" t="s">
        <v>1355</v>
      </c>
    </row>
    <row r="547" spans="1:10" s="1702" customFormat="1" ht="17.100000000000001" customHeight="1">
      <c r="A547" s="1756"/>
      <c r="B547" s="1756"/>
      <c r="C547" s="3263" t="s">
        <v>1004</v>
      </c>
      <c r="D547" s="3185" t="s">
        <v>1003</v>
      </c>
      <c r="E547" s="3285">
        <v>25000</v>
      </c>
      <c r="F547" s="3285">
        <v>25000</v>
      </c>
      <c r="G547" s="2686">
        <v>25000</v>
      </c>
      <c r="H547" s="3184">
        <f t="shared" si="37"/>
        <v>1</v>
      </c>
      <c r="J547" s="1702" t="s">
        <v>1355</v>
      </c>
    </row>
    <row r="548" spans="1:10" s="1702" customFormat="1" ht="17.100000000000001" customHeight="1">
      <c r="A548" s="1756"/>
      <c r="B548" s="1756"/>
      <c r="C548" s="3263" t="s">
        <v>1002</v>
      </c>
      <c r="D548" s="3185" t="s">
        <v>1001</v>
      </c>
      <c r="E548" s="3285">
        <v>95000</v>
      </c>
      <c r="F548" s="3285">
        <v>95000</v>
      </c>
      <c r="G548" s="2686">
        <v>20000</v>
      </c>
      <c r="H548" s="3184">
        <f t="shared" si="37"/>
        <v>0.21052631578947367</v>
      </c>
      <c r="J548" s="1702" t="s">
        <v>1355</v>
      </c>
    </row>
    <row r="549" spans="1:10" s="1702" customFormat="1" ht="17.100000000000001" customHeight="1">
      <c r="A549" s="1756"/>
      <c r="B549" s="1756"/>
      <c r="C549" s="3263" t="s">
        <v>959</v>
      </c>
      <c r="D549" s="3185" t="s">
        <v>958</v>
      </c>
      <c r="E549" s="3285">
        <v>170000</v>
      </c>
      <c r="F549" s="3285">
        <v>162040</v>
      </c>
      <c r="G549" s="2686">
        <v>170000</v>
      </c>
      <c r="H549" s="3184">
        <f t="shared" si="37"/>
        <v>1.0491236731671192</v>
      </c>
      <c r="J549" s="1702" t="s">
        <v>1355</v>
      </c>
    </row>
    <row r="550" spans="1:10" s="1702" customFormat="1" ht="17.100000000000001" customHeight="1">
      <c r="A550" s="1756"/>
      <c r="B550" s="1756"/>
      <c r="C550" s="3263" t="s">
        <v>1144</v>
      </c>
      <c r="D550" s="3185" t="s">
        <v>1143</v>
      </c>
      <c r="E550" s="3285"/>
      <c r="F550" s="3285">
        <v>0</v>
      </c>
      <c r="G550" s="2686">
        <v>251000</v>
      </c>
      <c r="H550" s="3184"/>
      <c r="J550" s="1702" t="s">
        <v>1086</v>
      </c>
    </row>
    <row r="551" spans="1:10" s="1702" customFormat="1" ht="17.100000000000001" hidden="1" customHeight="1">
      <c r="A551" s="1756"/>
      <c r="B551" s="1756"/>
      <c r="C551" s="3263" t="s">
        <v>988</v>
      </c>
      <c r="D551" s="3185" t="s">
        <v>987</v>
      </c>
      <c r="E551" s="3285">
        <v>0</v>
      </c>
      <c r="F551" s="3285"/>
      <c r="G551" s="2686"/>
      <c r="H551" s="3184"/>
    </row>
    <row r="552" spans="1:10" s="1702" customFormat="1" ht="17.100000000000001" customHeight="1">
      <c r="A552" s="1756"/>
      <c r="B552" s="1756"/>
      <c r="C552" s="3263" t="s">
        <v>984</v>
      </c>
      <c r="D552" s="3185" t="s">
        <v>983</v>
      </c>
      <c r="E552" s="3285">
        <v>100000</v>
      </c>
      <c r="F552" s="3285">
        <v>96700</v>
      </c>
      <c r="G552" s="2686">
        <v>100000</v>
      </c>
      <c r="H552" s="3184">
        <f t="shared" ref="H552:H557" si="38">G552/F552</f>
        <v>1.0341261633919339</v>
      </c>
      <c r="J552" s="1702" t="s">
        <v>1355</v>
      </c>
    </row>
    <row r="553" spans="1:10" s="1702" customFormat="1" ht="17.100000000000001" customHeight="1">
      <c r="A553" s="1756"/>
      <c r="B553" s="1756"/>
      <c r="C553" s="3263" t="s">
        <v>1089</v>
      </c>
      <c r="D553" s="3185" t="s">
        <v>1092</v>
      </c>
      <c r="E553" s="3285">
        <v>1050</v>
      </c>
      <c r="F553" s="3285">
        <v>4350</v>
      </c>
      <c r="G553" s="2686">
        <v>4350</v>
      </c>
      <c r="H553" s="3184">
        <f t="shared" si="38"/>
        <v>1</v>
      </c>
      <c r="J553" s="1702" t="s">
        <v>1355</v>
      </c>
    </row>
    <row r="554" spans="1:10" s="1702" customFormat="1" ht="17.100000000000001" hidden="1" customHeight="1">
      <c r="A554" s="1756"/>
      <c r="B554" s="1756"/>
      <c r="C554" s="3263" t="s">
        <v>1158</v>
      </c>
      <c r="D554" s="3185" t="s">
        <v>1157</v>
      </c>
      <c r="E554" s="3285">
        <v>0</v>
      </c>
      <c r="F554" s="3285"/>
      <c r="G554" s="2686"/>
      <c r="H554" s="3184" t="e">
        <f t="shared" si="38"/>
        <v>#DIV/0!</v>
      </c>
    </row>
    <row r="555" spans="1:10" s="1702" customFormat="1" ht="17.100000000000001" hidden="1" customHeight="1">
      <c r="A555" s="1756"/>
      <c r="B555" s="1756"/>
      <c r="C555" s="3228" t="s">
        <v>1367</v>
      </c>
      <c r="D555" s="3185" t="s">
        <v>1366</v>
      </c>
      <c r="E555" s="3285">
        <v>0</v>
      </c>
      <c r="F555" s="3285">
        <v>7960</v>
      </c>
      <c r="G555" s="2686">
        <v>0</v>
      </c>
      <c r="H555" s="3184">
        <f t="shared" si="38"/>
        <v>0</v>
      </c>
    </row>
    <row r="556" spans="1:10" s="1702" customFormat="1" ht="29.25" hidden="1" customHeight="1">
      <c r="A556" s="1756"/>
      <c r="B556" s="1756"/>
      <c r="C556" s="3228" t="s">
        <v>1365</v>
      </c>
      <c r="D556" s="3225" t="s">
        <v>1364</v>
      </c>
      <c r="E556" s="3285">
        <v>0</v>
      </c>
      <c r="F556" s="3285">
        <v>934612</v>
      </c>
      <c r="G556" s="2686">
        <v>0</v>
      </c>
      <c r="H556" s="3184">
        <f t="shared" si="38"/>
        <v>0</v>
      </c>
    </row>
    <row r="557" spans="1:10" s="1702" customFormat="1" ht="17.100000000000001" customHeight="1">
      <c r="A557" s="1756"/>
      <c r="B557" s="1756"/>
      <c r="C557" s="3263" t="s">
        <v>1122</v>
      </c>
      <c r="D557" s="3185" t="s">
        <v>1118</v>
      </c>
      <c r="E557" s="3285">
        <v>40000</v>
      </c>
      <c r="F557" s="3285">
        <v>40000</v>
      </c>
      <c r="G557" s="2686">
        <v>40000</v>
      </c>
      <c r="H557" s="3184">
        <f t="shared" si="38"/>
        <v>1</v>
      </c>
      <c r="J557" s="1702" t="s">
        <v>1355</v>
      </c>
    </row>
    <row r="558" spans="1:10" s="1702" customFormat="1" ht="17.100000000000001" hidden="1" customHeight="1">
      <c r="A558" s="1756"/>
      <c r="B558" s="1756"/>
      <c r="C558" s="1756"/>
      <c r="D558" s="2970"/>
      <c r="E558" s="3285"/>
      <c r="F558" s="3285"/>
      <c r="G558" s="2686"/>
      <c r="H558" s="3184"/>
    </row>
    <row r="559" spans="1:10" s="1702" customFormat="1" ht="17.100000000000001" hidden="1" customHeight="1">
      <c r="A559" s="1756"/>
      <c r="B559" s="1756"/>
      <c r="C559" s="4548" t="s">
        <v>943</v>
      </c>
      <c r="D559" s="4549"/>
      <c r="E559" s="3300">
        <f>SUM(E560)</f>
        <v>0</v>
      </c>
      <c r="F559" s="3300">
        <f>SUM(F560)</f>
        <v>126000</v>
      </c>
      <c r="G559" s="3283">
        <f>SUM(G560)</f>
        <v>0</v>
      </c>
      <c r="H559" s="3184">
        <f>G559/F559</f>
        <v>0</v>
      </c>
    </row>
    <row r="560" spans="1:10" s="1702" customFormat="1" ht="42" hidden="1" customHeight="1">
      <c r="A560" s="1756"/>
      <c r="B560" s="1756"/>
      <c r="C560" s="3297" t="s">
        <v>91</v>
      </c>
      <c r="D560" s="3271" t="s">
        <v>942</v>
      </c>
      <c r="E560" s="3285">
        <v>0</v>
      </c>
      <c r="F560" s="3285">
        <v>126000</v>
      </c>
      <c r="G560" s="2686">
        <v>0</v>
      </c>
      <c r="H560" s="3184">
        <f>G560/F560</f>
        <v>0</v>
      </c>
    </row>
    <row r="561" spans="1:10" s="1702" customFormat="1" ht="17.100000000000001" customHeight="1">
      <c r="A561" s="1756"/>
      <c r="B561" s="1756"/>
      <c r="C561" s="3322"/>
      <c r="D561" s="3321"/>
      <c r="E561" s="3285"/>
      <c r="F561" s="3285"/>
      <c r="G561" s="2686"/>
      <c r="H561" s="3184"/>
    </row>
    <row r="562" spans="1:10" s="1702" customFormat="1" ht="17.100000000000001" customHeight="1">
      <c r="A562" s="1756"/>
      <c r="B562" s="1756"/>
      <c r="C562" s="4539" t="s">
        <v>941</v>
      </c>
      <c r="D562" s="4555"/>
      <c r="E562" s="3320">
        <f>SUM(E563)</f>
        <v>855036</v>
      </c>
      <c r="F562" s="3320">
        <f>SUM(F563)</f>
        <v>13391545</v>
      </c>
      <c r="G562" s="3319">
        <f>SUM(G563)</f>
        <v>1164363</v>
      </c>
      <c r="H562" s="3216">
        <f t="shared" ref="H562:H567" si="39">G562/F562</f>
        <v>8.6947622548406475E-2</v>
      </c>
    </row>
    <row r="563" spans="1:10" s="1702" customFormat="1" ht="17.100000000000001" customHeight="1">
      <c r="A563" s="1756"/>
      <c r="B563" s="1756"/>
      <c r="C563" s="4550" t="s">
        <v>940</v>
      </c>
      <c r="D563" s="4556"/>
      <c r="E563" s="3300">
        <f>SUM(E564:E567)</f>
        <v>855036</v>
      </c>
      <c r="F563" s="3318">
        <f>SUM(F564:F569)</f>
        <v>13391545</v>
      </c>
      <c r="G563" s="3283">
        <f>SUM(G564:G569)</f>
        <v>1164363</v>
      </c>
      <c r="H563" s="3184">
        <f t="shared" si="39"/>
        <v>8.6947622548406475E-2</v>
      </c>
    </row>
    <row r="564" spans="1:10" s="1702" customFormat="1" ht="17.100000000000001" customHeight="1">
      <c r="A564" s="1831"/>
      <c r="B564" s="1831"/>
      <c r="C564" s="3224" t="s">
        <v>546</v>
      </c>
      <c r="D564" s="3271" t="s">
        <v>1023</v>
      </c>
      <c r="E564" s="3285">
        <v>650000</v>
      </c>
      <c r="F564" s="3285">
        <v>650000</v>
      </c>
      <c r="G564" s="2686">
        <v>330000</v>
      </c>
      <c r="H564" s="3184">
        <f t="shared" si="39"/>
        <v>0.50769230769230766</v>
      </c>
      <c r="J564" s="1702" t="s">
        <v>1064</v>
      </c>
    </row>
    <row r="565" spans="1:10" s="1702" customFormat="1" ht="17.100000000000001" hidden="1" customHeight="1">
      <c r="A565" s="1756"/>
      <c r="B565" s="1756"/>
      <c r="C565" s="3305" t="s">
        <v>553</v>
      </c>
      <c r="D565" s="2835" t="s">
        <v>1072</v>
      </c>
      <c r="E565" s="2500">
        <v>0</v>
      </c>
      <c r="F565" s="2500"/>
      <c r="G565" s="1802"/>
      <c r="H565" s="2503" t="e">
        <f t="shared" si="39"/>
        <v>#DIV/0!</v>
      </c>
    </row>
    <row r="566" spans="1:10" s="1702" customFormat="1" ht="55.5" customHeight="1">
      <c r="A566" s="1831"/>
      <c r="B566" s="1756"/>
      <c r="C566" s="3317" t="s">
        <v>186</v>
      </c>
      <c r="D566" s="3316" t="s">
        <v>1026</v>
      </c>
      <c r="E566" s="3300">
        <v>205036</v>
      </c>
      <c r="F566" s="3300">
        <v>476751</v>
      </c>
      <c r="G566" s="3283">
        <v>74363</v>
      </c>
      <c r="H566" s="3184">
        <f t="shared" si="39"/>
        <v>0.15597869747520193</v>
      </c>
      <c r="J566" s="1702" t="s">
        <v>1025</v>
      </c>
    </row>
    <row r="567" spans="1:10" s="1702" customFormat="1" ht="40.5" hidden="1" customHeight="1">
      <c r="A567" s="1831"/>
      <c r="B567" s="1831"/>
      <c r="C567" s="2696" t="s">
        <v>939</v>
      </c>
      <c r="D567" s="3307" t="s">
        <v>938</v>
      </c>
      <c r="E567" s="3285">
        <v>0</v>
      </c>
      <c r="F567" s="3285">
        <v>83794</v>
      </c>
      <c r="G567" s="2686">
        <v>0</v>
      </c>
      <c r="H567" s="3184">
        <f t="shared" si="39"/>
        <v>0</v>
      </c>
    </row>
    <row r="568" spans="1:10" s="1702" customFormat="1" ht="27.75" customHeight="1" thickBot="1">
      <c r="A568" s="1756"/>
      <c r="B568" s="1831"/>
      <c r="C568" s="2696" t="s">
        <v>1363</v>
      </c>
      <c r="D568" s="3307" t="s">
        <v>1362</v>
      </c>
      <c r="E568" s="3285"/>
      <c r="F568" s="3285">
        <v>0</v>
      </c>
      <c r="G568" s="2686">
        <v>760000</v>
      </c>
      <c r="H568" s="3184"/>
      <c r="J568" s="1702" t="s">
        <v>1086</v>
      </c>
    </row>
    <row r="569" spans="1:10" s="1702" customFormat="1" ht="26.25" hidden="1" thickBot="1">
      <c r="A569" s="1756"/>
      <c r="B569" s="1847"/>
      <c r="C569" s="3315" t="s">
        <v>1361</v>
      </c>
      <c r="D569" s="3314" t="s">
        <v>1360</v>
      </c>
      <c r="E569" s="1873"/>
      <c r="F569" s="1873">
        <v>12181000</v>
      </c>
      <c r="G569" s="1872">
        <v>0</v>
      </c>
      <c r="H569" s="1871"/>
    </row>
    <row r="570" spans="1:10" s="1702" customFormat="1" ht="17.25" hidden="1" customHeight="1" thickBot="1">
      <c r="A570" s="1756"/>
      <c r="B570" s="3063" t="s">
        <v>639</v>
      </c>
      <c r="C570" s="3313"/>
      <c r="D570" s="3312" t="s">
        <v>50</v>
      </c>
      <c r="E570" s="1765">
        <f>SUM(E571,E575)</f>
        <v>0</v>
      </c>
      <c r="F570" s="1765">
        <f>SUM(F571,F575)</f>
        <v>39000</v>
      </c>
      <c r="G570" s="1764">
        <f>SUM(G571,G575)</f>
        <v>0</v>
      </c>
      <c r="H570" s="1763">
        <f>G570/F570</f>
        <v>0</v>
      </c>
    </row>
    <row r="571" spans="1:10" s="1702" customFormat="1" ht="17.25" hidden="1" customHeight="1">
      <c r="A571" s="1756"/>
      <c r="B571" s="3311"/>
      <c r="C571" s="4541" t="s">
        <v>944</v>
      </c>
      <c r="D571" s="4542"/>
      <c r="E571" s="1750">
        <f t="shared" ref="E571:G572" si="40">SUM(E572)</f>
        <v>0</v>
      </c>
      <c r="F571" s="1750">
        <f t="shared" si="40"/>
        <v>27000</v>
      </c>
      <c r="G571" s="1749">
        <f t="shared" si="40"/>
        <v>0</v>
      </c>
      <c r="H571" s="2537">
        <f>G571/F571</f>
        <v>0</v>
      </c>
    </row>
    <row r="572" spans="1:10" s="1702" customFormat="1" ht="17.25" hidden="1" customHeight="1">
      <c r="A572" s="1756"/>
      <c r="B572" s="3311"/>
      <c r="C572" s="4550" t="s">
        <v>943</v>
      </c>
      <c r="D572" s="4544"/>
      <c r="E572" s="3300">
        <f t="shared" si="40"/>
        <v>0</v>
      </c>
      <c r="F572" s="3300">
        <f t="shared" si="40"/>
        <v>27000</v>
      </c>
      <c r="G572" s="3283">
        <f t="shared" si="40"/>
        <v>0</v>
      </c>
      <c r="H572" s="3184">
        <f>G572/F572</f>
        <v>0</v>
      </c>
    </row>
    <row r="573" spans="1:10" s="1702" customFormat="1" ht="44.25" hidden="1" customHeight="1">
      <c r="A573" s="1756"/>
      <c r="B573" s="3311"/>
      <c r="C573" s="2696" t="s">
        <v>91</v>
      </c>
      <c r="D573" s="3307" t="s">
        <v>942</v>
      </c>
      <c r="E573" s="3285">
        <v>0</v>
      </c>
      <c r="F573" s="3285">
        <v>27000</v>
      </c>
      <c r="G573" s="2686">
        <v>0</v>
      </c>
      <c r="H573" s="3184">
        <f>G573/F573</f>
        <v>0</v>
      </c>
    </row>
    <row r="574" spans="1:10" s="1702" customFormat="1" ht="12.75" hidden="1" customHeight="1" thickBot="1">
      <c r="A574" s="1743"/>
      <c r="B574" s="3310"/>
      <c r="C574" s="3277"/>
      <c r="D574" s="3276"/>
      <c r="E574" s="2636"/>
      <c r="F574" s="2636"/>
      <c r="G574" s="1738"/>
      <c r="H574" s="2617"/>
    </row>
    <row r="575" spans="1:10" s="1702" customFormat="1" ht="13.5" hidden="1" customHeight="1">
      <c r="A575" s="1886"/>
      <c r="B575" s="1886"/>
      <c r="C575" s="4557" t="s">
        <v>941</v>
      </c>
      <c r="D575" s="4558"/>
      <c r="E575" s="3309">
        <f>SUM(E576)</f>
        <v>0</v>
      </c>
      <c r="F575" s="3309">
        <f>SUM(F576)</f>
        <v>12000</v>
      </c>
      <c r="G575" s="3308">
        <f>SUM(G576)</f>
        <v>0</v>
      </c>
      <c r="H575" s="2227">
        <f t="shared" ref="H575:H590" si="41">G575/F575</f>
        <v>0</v>
      </c>
    </row>
    <row r="576" spans="1:10" s="1702" customFormat="1" ht="16.5" hidden="1" customHeight="1">
      <c r="A576" s="1756"/>
      <c r="B576" s="1756"/>
      <c r="C576" s="4550" t="s">
        <v>940</v>
      </c>
      <c r="D576" s="4556"/>
      <c r="E576" s="3285">
        <f>SUM(E579)</f>
        <v>0</v>
      </c>
      <c r="F576" s="3285">
        <f>SUM(F579)</f>
        <v>12000</v>
      </c>
      <c r="G576" s="2686">
        <f>SUM(G579)</f>
        <v>0</v>
      </c>
      <c r="H576" s="3184">
        <f t="shared" si="41"/>
        <v>0</v>
      </c>
    </row>
    <row r="577" spans="1:10" s="1702" customFormat="1" ht="55.5" hidden="1" customHeight="1">
      <c r="A577" s="1756"/>
      <c r="B577" s="1756"/>
      <c r="C577" s="2696" t="s">
        <v>186</v>
      </c>
      <c r="D577" s="3307" t="s">
        <v>1026</v>
      </c>
      <c r="E577" s="3300">
        <v>0</v>
      </c>
      <c r="F577" s="3285"/>
      <c r="G577" s="2686"/>
      <c r="H577" s="3184" t="e">
        <f t="shared" si="41"/>
        <v>#DIV/0!</v>
      </c>
    </row>
    <row r="578" spans="1:10" s="1702" customFormat="1" ht="39" hidden="1" thickBot="1">
      <c r="A578" s="1756"/>
      <c r="B578" s="1756"/>
      <c r="C578" s="3277" t="s">
        <v>939</v>
      </c>
      <c r="D578" s="3306" t="s">
        <v>938</v>
      </c>
      <c r="E578" s="2636">
        <v>0</v>
      </c>
      <c r="F578" s="3285"/>
      <c r="G578" s="2686"/>
      <c r="H578" s="3184" t="e">
        <f t="shared" si="41"/>
        <v>#DIV/0!</v>
      </c>
    </row>
    <row r="579" spans="1:10" s="1702" customFormat="1" ht="46.5" hidden="1" customHeight="1" thickBot="1">
      <c r="A579" s="1743"/>
      <c r="B579" s="1847"/>
      <c r="C579" s="2114" t="s">
        <v>939</v>
      </c>
      <c r="D579" s="1740" t="s">
        <v>938</v>
      </c>
      <c r="E579" s="1873">
        <v>0</v>
      </c>
      <c r="F579" s="2636">
        <v>12000</v>
      </c>
      <c r="G579" s="1738">
        <v>0</v>
      </c>
      <c r="H579" s="2617">
        <f t="shared" si="41"/>
        <v>0</v>
      </c>
    </row>
    <row r="580" spans="1:10" s="1702" customFormat="1" ht="17.100000000000001" customHeight="1" thickBot="1">
      <c r="A580" s="1844" t="s">
        <v>859</v>
      </c>
      <c r="B580" s="1843"/>
      <c r="C580" s="1842"/>
      <c r="D580" s="1841" t="s">
        <v>1359</v>
      </c>
      <c r="E580" s="1737">
        <f>SUM(E581,E617,E621,E667)</f>
        <v>8883627</v>
      </c>
      <c r="F580" s="1737">
        <f>SUM(F581,F617,F621,F667)</f>
        <v>9275267</v>
      </c>
      <c r="G580" s="1736">
        <f>SUM(G581,G617,G621,G667)</f>
        <v>470250</v>
      </c>
      <c r="H580" s="1735">
        <f t="shared" si="41"/>
        <v>5.0699349140030145E-2</v>
      </c>
    </row>
    <row r="581" spans="1:10" s="1702" customFormat="1" ht="17.100000000000001" hidden="1" customHeight="1" thickBot="1">
      <c r="A581" s="1886"/>
      <c r="B581" s="1768" t="s">
        <v>1358</v>
      </c>
      <c r="C581" s="1839"/>
      <c r="D581" s="1838" t="s">
        <v>148</v>
      </c>
      <c r="E581" s="1818">
        <f>SUM(E582)</f>
        <v>4044710</v>
      </c>
      <c r="F581" s="1818">
        <f>SUM(F582)</f>
        <v>2437210</v>
      </c>
      <c r="G581" s="1817">
        <f>SUM(G582)</f>
        <v>0</v>
      </c>
      <c r="H581" s="1763">
        <f t="shared" si="41"/>
        <v>0</v>
      </c>
    </row>
    <row r="582" spans="1:10" s="1702" customFormat="1" ht="17.100000000000001" hidden="1" customHeight="1">
      <c r="A582" s="1756"/>
      <c r="B582" s="1831"/>
      <c r="C582" s="4296" t="s">
        <v>944</v>
      </c>
      <c r="D582" s="4296"/>
      <c r="E582" s="2538">
        <f>SUM(E583,E611)</f>
        <v>4044710</v>
      </c>
      <c r="F582" s="2538">
        <f>SUM(F583,F611)</f>
        <v>2437210</v>
      </c>
      <c r="G582" s="1761">
        <f>SUM(G583,G611)</f>
        <v>0</v>
      </c>
      <c r="H582" s="2537">
        <f t="shared" si="41"/>
        <v>0</v>
      </c>
      <c r="J582" s="1702" t="s">
        <v>1285</v>
      </c>
    </row>
    <row r="583" spans="1:10" s="1702" customFormat="1" ht="17.100000000000001" hidden="1" customHeight="1">
      <c r="A583" s="1756"/>
      <c r="B583" s="1831"/>
      <c r="C583" s="4521" t="s">
        <v>967</v>
      </c>
      <c r="D583" s="4521"/>
      <c r="E583" s="3285">
        <f>SUM(E584,E592)</f>
        <v>4037010</v>
      </c>
      <c r="F583" s="3285">
        <f>SUM(F584,F592)</f>
        <v>2429510</v>
      </c>
      <c r="G583" s="2686">
        <f>SUM(G584,G592)</f>
        <v>0</v>
      </c>
      <c r="H583" s="3184">
        <f t="shared" si="41"/>
        <v>0</v>
      </c>
    </row>
    <row r="584" spans="1:10" s="1702" customFormat="1" ht="17.100000000000001" hidden="1" customHeight="1">
      <c r="A584" s="1756"/>
      <c r="B584" s="1831"/>
      <c r="C584" s="4545" t="s">
        <v>966</v>
      </c>
      <c r="D584" s="4545"/>
      <c r="E584" s="3286">
        <f>SUM(E585:E590)</f>
        <v>3472460</v>
      </c>
      <c r="F584" s="3286">
        <f>SUM(F585:F590)</f>
        <v>1992460</v>
      </c>
      <c r="G584" s="2715">
        <f>SUM(G585:G590)</f>
        <v>0</v>
      </c>
      <c r="H584" s="3206">
        <f t="shared" si="41"/>
        <v>0</v>
      </c>
    </row>
    <row r="585" spans="1:10" s="1702" customFormat="1" ht="17.100000000000001" hidden="1" customHeight="1">
      <c r="A585" s="1756"/>
      <c r="B585" s="1831"/>
      <c r="C585" s="3222" t="s">
        <v>1016</v>
      </c>
      <c r="D585" s="3225" t="s">
        <v>1015</v>
      </c>
      <c r="E585" s="3285">
        <v>2703000</v>
      </c>
      <c r="F585" s="3285">
        <v>1323000</v>
      </c>
      <c r="G585" s="2686">
        <v>0</v>
      </c>
      <c r="H585" s="3184">
        <f t="shared" si="41"/>
        <v>0</v>
      </c>
    </row>
    <row r="586" spans="1:10" s="1702" customFormat="1" ht="17.100000000000001" hidden="1" customHeight="1">
      <c r="A586" s="1756"/>
      <c r="B586" s="1831"/>
      <c r="C586" s="3222" t="s">
        <v>1014</v>
      </c>
      <c r="D586" s="3225" t="s">
        <v>1013</v>
      </c>
      <c r="E586" s="3285">
        <v>212000</v>
      </c>
      <c r="F586" s="3285">
        <v>313370</v>
      </c>
      <c r="G586" s="2686">
        <v>0</v>
      </c>
      <c r="H586" s="3184">
        <f t="shared" si="41"/>
        <v>0</v>
      </c>
    </row>
    <row r="587" spans="1:10" s="1702" customFormat="1" ht="17.100000000000001" hidden="1" customHeight="1">
      <c r="A587" s="1756"/>
      <c r="B587" s="1831"/>
      <c r="C587" s="3222" t="s">
        <v>965</v>
      </c>
      <c r="D587" s="3225" t="s">
        <v>964</v>
      </c>
      <c r="E587" s="3285">
        <v>480000</v>
      </c>
      <c r="F587" s="3285">
        <v>276850</v>
      </c>
      <c r="G587" s="2686">
        <v>0</v>
      </c>
      <c r="H587" s="3184">
        <f t="shared" si="41"/>
        <v>0</v>
      </c>
    </row>
    <row r="588" spans="1:10" s="1702" customFormat="1" ht="16.5" hidden="1" customHeight="1">
      <c r="A588" s="1756"/>
      <c r="B588" s="1831"/>
      <c r="C588" s="3222" t="s">
        <v>963</v>
      </c>
      <c r="D588" s="3225" t="s">
        <v>962</v>
      </c>
      <c r="E588" s="3285">
        <v>57000</v>
      </c>
      <c r="F588" s="3285">
        <v>36530</v>
      </c>
      <c r="G588" s="2686">
        <v>0</v>
      </c>
      <c r="H588" s="3184">
        <f t="shared" si="41"/>
        <v>0</v>
      </c>
    </row>
    <row r="589" spans="1:10" s="1702" customFormat="1" ht="17.100000000000001" hidden="1" customHeight="1">
      <c r="A589" s="1756"/>
      <c r="B589" s="1831"/>
      <c r="C589" s="3222" t="s">
        <v>974</v>
      </c>
      <c r="D589" s="3225" t="s">
        <v>973</v>
      </c>
      <c r="E589" s="3285">
        <v>7000</v>
      </c>
      <c r="F589" s="3285">
        <v>29250</v>
      </c>
      <c r="G589" s="2686">
        <v>0</v>
      </c>
      <c r="H589" s="3184">
        <f t="shared" si="41"/>
        <v>0</v>
      </c>
    </row>
    <row r="590" spans="1:10" s="1702" customFormat="1" ht="17.100000000000001" hidden="1" customHeight="1">
      <c r="A590" s="1756"/>
      <c r="B590" s="1831"/>
      <c r="C590" s="3292" t="s">
        <v>1012</v>
      </c>
      <c r="D590" s="3225" t="s">
        <v>1011</v>
      </c>
      <c r="E590" s="3285">
        <v>13460</v>
      </c>
      <c r="F590" s="3285">
        <v>13460</v>
      </c>
      <c r="G590" s="2686">
        <v>0</v>
      </c>
      <c r="H590" s="3184">
        <f t="shared" si="41"/>
        <v>0</v>
      </c>
    </row>
    <row r="591" spans="1:10" s="1702" customFormat="1" ht="17.100000000000001" hidden="1" customHeight="1">
      <c r="A591" s="1756"/>
      <c r="B591" s="1831"/>
      <c r="C591" s="2766"/>
      <c r="D591" s="2766"/>
      <c r="E591" s="2765"/>
      <c r="F591" s="3285"/>
      <c r="G591" s="2686"/>
      <c r="H591" s="3184"/>
    </row>
    <row r="592" spans="1:10" s="1702" customFormat="1" ht="17.100000000000001" hidden="1" customHeight="1">
      <c r="A592" s="1756"/>
      <c r="B592" s="1831"/>
      <c r="C592" s="4517" t="s">
        <v>961</v>
      </c>
      <c r="D592" s="4517"/>
      <c r="E592" s="3286">
        <f>SUM(E593:E609)</f>
        <v>564550</v>
      </c>
      <c r="F592" s="3286">
        <f>SUM(F593:F609)</f>
        <v>437050</v>
      </c>
      <c r="G592" s="2715">
        <f>SUM(G593:G609)</f>
        <v>0</v>
      </c>
      <c r="H592" s="3206">
        <f>G592/F592</f>
        <v>0</v>
      </c>
    </row>
    <row r="593" spans="1:8" s="1702" customFormat="1" ht="17.25" hidden="1" customHeight="1">
      <c r="A593" s="1756"/>
      <c r="B593" s="1831"/>
      <c r="C593" s="3239" t="s">
        <v>1048</v>
      </c>
      <c r="D593" s="3274" t="s">
        <v>1047</v>
      </c>
      <c r="E593" s="3285">
        <v>20800</v>
      </c>
      <c r="F593" s="3285">
        <v>10800</v>
      </c>
      <c r="G593" s="2686">
        <v>0</v>
      </c>
      <c r="H593" s="3184">
        <f>G593/F593</f>
        <v>0</v>
      </c>
    </row>
    <row r="594" spans="1:8" s="1702" customFormat="1" ht="17.100000000000001" hidden="1" customHeight="1">
      <c r="A594" s="1756"/>
      <c r="B594" s="1831"/>
      <c r="C594" s="3224" t="s">
        <v>613</v>
      </c>
      <c r="D594" s="3223" t="s">
        <v>960</v>
      </c>
      <c r="E594" s="3285">
        <v>95540</v>
      </c>
      <c r="F594" s="3285">
        <v>65540</v>
      </c>
      <c r="G594" s="2686">
        <v>0</v>
      </c>
      <c r="H594" s="3184">
        <f>G594/F594</f>
        <v>0</v>
      </c>
    </row>
    <row r="595" spans="1:8" s="1702" customFormat="1" ht="18" hidden="1" customHeight="1">
      <c r="A595" s="1831"/>
      <c r="B595" s="1831"/>
      <c r="C595" s="2502" t="s">
        <v>1008</v>
      </c>
      <c r="D595" s="2501" t="s">
        <v>1357</v>
      </c>
      <c r="E595" s="2500">
        <v>1500</v>
      </c>
      <c r="F595" s="2500">
        <v>1500</v>
      </c>
      <c r="G595" s="1802">
        <v>0</v>
      </c>
      <c r="H595" s="2503">
        <f>G595/F595</f>
        <v>0</v>
      </c>
    </row>
    <row r="596" spans="1:8" s="1702" customFormat="1" ht="17.100000000000001" hidden="1" customHeight="1">
      <c r="A596" s="1756"/>
      <c r="B596" s="1831"/>
      <c r="C596" s="3222" t="s">
        <v>1006</v>
      </c>
      <c r="D596" s="3225" t="s">
        <v>1005</v>
      </c>
      <c r="E596" s="3285">
        <v>1500</v>
      </c>
      <c r="F596" s="3285">
        <v>0</v>
      </c>
      <c r="G596" s="2686">
        <v>0</v>
      </c>
      <c r="H596" s="3184"/>
    </row>
    <row r="597" spans="1:8" s="1702" customFormat="1" ht="17.100000000000001" hidden="1" customHeight="1">
      <c r="A597" s="1756"/>
      <c r="B597" s="1831"/>
      <c r="C597" s="3222" t="s">
        <v>1004</v>
      </c>
      <c r="D597" s="3225" t="s">
        <v>1003</v>
      </c>
      <c r="E597" s="3285">
        <v>133800</v>
      </c>
      <c r="F597" s="3285">
        <v>133800</v>
      </c>
      <c r="G597" s="2686">
        <v>0</v>
      </c>
      <c r="H597" s="3184">
        <f t="shared" ref="H597:H609" si="42">G597/F597</f>
        <v>0</v>
      </c>
    </row>
    <row r="598" spans="1:8" s="1702" customFormat="1" ht="17.100000000000001" hidden="1" customHeight="1">
      <c r="A598" s="1756"/>
      <c r="B598" s="1831"/>
      <c r="C598" s="3222" t="s">
        <v>1002</v>
      </c>
      <c r="D598" s="3225" t="s">
        <v>1001</v>
      </c>
      <c r="E598" s="3285">
        <v>18320</v>
      </c>
      <c r="F598" s="3285">
        <v>8320</v>
      </c>
      <c r="G598" s="2686">
        <v>0</v>
      </c>
      <c r="H598" s="3184">
        <f t="shared" si="42"/>
        <v>0</v>
      </c>
    </row>
    <row r="599" spans="1:8" s="1702" customFormat="1" ht="17.100000000000001" hidden="1" customHeight="1">
      <c r="A599" s="1756"/>
      <c r="B599" s="1831"/>
      <c r="C599" s="3222" t="s">
        <v>1000</v>
      </c>
      <c r="D599" s="3225" t="s">
        <v>999</v>
      </c>
      <c r="E599" s="3285">
        <v>8350</v>
      </c>
      <c r="F599" s="3285">
        <v>6350</v>
      </c>
      <c r="G599" s="2686">
        <v>0</v>
      </c>
      <c r="H599" s="3184">
        <f t="shared" si="42"/>
        <v>0</v>
      </c>
    </row>
    <row r="600" spans="1:8" s="1702" customFormat="1" ht="17.100000000000001" hidden="1" customHeight="1">
      <c r="A600" s="1756"/>
      <c r="B600" s="1831"/>
      <c r="C600" s="3222" t="s">
        <v>959</v>
      </c>
      <c r="D600" s="3225" t="s">
        <v>958</v>
      </c>
      <c r="E600" s="3285">
        <v>145500</v>
      </c>
      <c r="F600" s="3285">
        <v>95500</v>
      </c>
      <c r="G600" s="2686">
        <v>0</v>
      </c>
      <c r="H600" s="3184">
        <f t="shared" si="42"/>
        <v>0</v>
      </c>
    </row>
    <row r="601" spans="1:8" s="1702" customFormat="1" ht="16.5" hidden="1" customHeight="1">
      <c r="A601" s="1756"/>
      <c r="B601" s="1831"/>
      <c r="C601" s="3222" t="s">
        <v>998</v>
      </c>
      <c r="D601" s="3225" t="s">
        <v>997</v>
      </c>
      <c r="E601" s="3285">
        <v>12000</v>
      </c>
      <c r="F601" s="3285">
        <v>6000</v>
      </c>
      <c r="G601" s="2686">
        <v>0</v>
      </c>
      <c r="H601" s="3184">
        <f t="shared" si="42"/>
        <v>0</v>
      </c>
    </row>
    <row r="602" spans="1:8" s="1702" customFormat="1" ht="25.5" hidden="1" customHeight="1">
      <c r="A602" s="1756"/>
      <c r="B602" s="1831"/>
      <c r="C602" s="3222" t="s">
        <v>994</v>
      </c>
      <c r="D602" s="3225" t="s">
        <v>993</v>
      </c>
      <c r="E602" s="3285">
        <v>0</v>
      </c>
      <c r="F602" s="3285"/>
      <c r="G602" s="2686"/>
      <c r="H602" s="3184" t="e">
        <f t="shared" si="42"/>
        <v>#DIV/0!</v>
      </c>
    </row>
    <row r="603" spans="1:8" s="1702" customFormat="1" ht="17.100000000000001" hidden="1" customHeight="1">
      <c r="A603" s="1831"/>
      <c r="B603" s="1831"/>
      <c r="C603" s="3224" t="s">
        <v>992</v>
      </c>
      <c r="D603" s="3223" t="s">
        <v>991</v>
      </c>
      <c r="E603" s="3285">
        <v>5000</v>
      </c>
      <c r="F603" s="3285">
        <v>5000</v>
      </c>
      <c r="G603" s="2686">
        <v>0</v>
      </c>
      <c r="H603" s="3184">
        <f t="shared" si="42"/>
        <v>0</v>
      </c>
    </row>
    <row r="604" spans="1:8" s="1702" customFormat="1" ht="17.100000000000001" hidden="1" customHeight="1">
      <c r="A604" s="1756"/>
      <c r="B604" s="1831"/>
      <c r="C604" s="3305" t="s">
        <v>990</v>
      </c>
      <c r="D604" s="1864" t="s">
        <v>989</v>
      </c>
      <c r="E604" s="1877">
        <v>0</v>
      </c>
      <c r="F604" s="3285"/>
      <c r="G604" s="2686"/>
      <c r="H604" s="3184" t="e">
        <f t="shared" si="42"/>
        <v>#DIV/0!</v>
      </c>
    </row>
    <row r="605" spans="1:8" s="1702" customFormat="1" ht="17.100000000000001" hidden="1" customHeight="1">
      <c r="A605" s="1831"/>
      <c r="B605" s="1831"/>
      <c r="C605" s="3304" t="s">
        <v>988</v>
      </c>
      <c r="D605" s="3303" t="s">
        <v>987</v>
      </c>
      <c r="E605" s="3285">
        <v>6150</v>
      </c>
      <c r="F605" s="3285">
        <v>3150</v>
      </c>
      <c r="G605" s="2686">
        <v>0</v>
      </c>
      <c r="H605" s="3184">
        <f t="shared" si="42"/>
        <v>0</v>
      </c>
    </row>
    <row r="606" spans="1:8" s="1702" customFormat="1" ht="17.100000000000001" hidden="1" customHeight="1">
      <c r="A606" s="1756"/>
      <c r="B606" s="1756"/>
      <c r="C606" s="3224" t="s">
        <v>986</v>
      </c>
      <c r="D606" s="3271" t="s">
        <v>985</v>
      </c>
      <c r="E606" s="3285">
        <v>85650</v>
      </c>
      <c r="F606" s="3285">
        <v>85650</v>
      </c>
      <c r="G606" s="2686">
        <v>0</v>
      </c>
      <c r="H606" s="3184">
        <f t="shared" si="42"/>
        <v>0</v>
      </c>
    </row>
    <row r="607" spans="1:8" s="1702" customFormat="1" ht="17.100000000000001" hidden="1" customHeight="1">
      <c r="A607" s="1831"/>
      <c r="B607" s="1831"/>
      <c r="C607" s="2709" t="s">
        <v>984</v>
      </c>
      <c r="D607" s="2741" t="s">
        <v>983</v>
      </c>
      <c r="E607" s="2500">
        <v>8800</v>
      </c>
      <c r="F607" s="2500">
        <v>3800</v>
      </c>
      <c r="G607" s="1802">
        <v>0</v>
      </c>
      <c r="H607" s="2503">
        <f t="shared" si="42"/>
        <v>0</v>
      </c>
    </row>
    <row r="608" spans="1:8" s="1702" customFormat="1" ht="17.100000000000001" hidden="1" customHeight="1">
      <c r="A608" s="1756"/>
      <c r="B608" s="1756"/>
      <c r="C608" s="3224" t="s">
        <v>1089</v>
      </c>
      <c r="D608" s="3271" t="s">
        <v>1092</v>
      </c>
      <c r="E608" s="3285">
        <v>11040</v>
      </c>
      <c r="F608" s="3285">
        <v>11040</v>
      </c>
      <c r="G608" s="2686">
        <v>0</v>
      </c>
      <c r="H608" s="3184">
        <f t="shared" si="42"/>
        <v>0</v>
      </c>
    </row>
    <row r="609" spans="1:10" s="1702" customFormat="1" ht="19.5" hidden="1" customHeight="1">
      <c r="A609" s="1756"/>
      <c r="B609" s="1756"/>
      <c r="C609" s="2709" t="s">
        <v>982</v>
      </c>
      <c r="D609" s="2741" t="s">
        <v>981</v>
      </c>
      <c r="E609" s="3285">
        <v>10600</v>
      </c>
      <c r="F609" s="3285">
        <v>600</v>
      </c>
      <c r="G609" s="2686">
        <v>0</v>
      </c>
      <c r="H609" s="3184">
        <f t="shared" si="42"/>
        <v>0</v>
      </c>
    </row>
    <row r="610" spans="1:10" s="1702" customFormat="1" ht="17.100000000000001" hidden="1" customHeight="1">
      <c r="A610" s="1756"/>
      <c r="B610" s="1756"/>
      <c r="C610" s="3302"/>
      <c r="D610" s="3301"/>
      <c r="E610" s="2765"/>
      <c r="F610" s="3285"/>
      <c r="G610" s="2686"/>
      <c r="H610" s="3184"/>
    </row>
    <row r="611" spans="1:10" s="1702" customFormat="1" ht="17.100000000000001" hidden="1" customHeight="1">
      <c r="A611" s="1756"/>
      <c r="B611" s="1756"/>
      <c r="C611" s="4365" t="s">
        <v>952</v>
      </c>
      <c r="D611" s="4340"/>
      <c r="E611" s="3285">
        <f>SUM(E612)</f>
        <v>7700</v>
      </c>
      <c r="F611" s="3285">
        <f>SUM(F612)</f>
        <v>7700</v>
      </c>
      <c r="G611" s="2686">
        <f>SUM(G612)</f>
        <v>0</v>
      </c>
      <c r="H611" s="3184">
        <f t="shared" ref="H611:H630" si="43">G611/F611</f>
        <v>0</v>
      </c>
    </row>
    <row r="612" spans="1:10" s="1702" customFormat="1" ht="18.75" hidden="1" customHeight="1" thickBot="1">
      <c r="A612" s="1756"/>
      <c r="B612" s="1756"/>
      <c r="C612" s="3297" t="s">
        <v>980</v>
      </c>
      <c r="D612" s="3296" t="s">
        <v>979</v>
      </c>
      <c r="E612" s="3300">
        <v>7700</v>
      </c>
      <c r="F612" s="3285">
        <v>7700</v>
      </c>
      <c r="G612" s="2686">
        <v>0</v>
      </c>
      <c r="H612" s="3184">
        <f t="shared" si="43"/>
        <v>0</v>
      </c>
    </row>
    <row r="613" spans="1:10" s="1702" customFormat="1" ht="15.75" hidden="1" customHeight="1" thickBot="1">
      <c r="A613" s="1756"/>
      <c r="B613" s="1756"/>
      <c r="C613" s="4527"/>
      <c r="D613" s="4528"/>
      <c r="E613" s="3299"/>
      <c r="F613" s="3285"/>
      <c r="G613" s="2686"/>
      <c r="H613" s="3184" t="e">
        <f t="shared" si="43"/>
        <v>#DIV/0!</v>
      </c>
    </row>
    <row r="614" spans="1:10" s="1702" customFormat="1" ht="18" hidden="1" customHeight="1" thickBot="1">
      <c r="A614" s="1756"/>
      <c r="B614" s="1756"/>
      <c r="C614" s="4546" t="s">
        <v>941</v>
      </c>
      <c r="D614" s="4547"/>
      <c r="E614" s="3298">
        <v>0</v>
      </c>
      <c r="F614" s="3285"/>
      <c r="G614" s="2686"/>
      <c r="H614" s="3184" t="e">
        <f t="shared" si="43"/>
        <v>#DIV/0!</v>
      </c>
    </row>
    <row r="615" spans="1:10" s="1702" customFormat="1" ht="16.5" hidden="1" customHeight="1" thickBot="1">
      <c r="A615" s="1756"/>
      <c r="B615" s="1756"/>
      <c r="C615" s="4548" t="s">
        <v>1126</v>
      </c>
      <c r="D615" s="4549"/>
      <c r="E615" s="3284">
        <v>0</v>
      </c>
      <c r="F615" s="3285"/>
      <c r="G615" s="2686"/>
      <c r="H615" s="3184" t="e">
        <f t="shared" si="43"/>
        <v>#DIV/0!</v>
      </c>
    </row>
    <row r="616" spans="1:10" s="1702" customFormat="1" ht="21" hidden="1" customHeight="1" thickBot="1">
      <c r="A616" s="1756"/>
      <c r="B616" s="1756"/>
      <c r="C616" s="3297" t="s">
        <v>546</v>
      </c>
      <c r="D616" s="3296" t="s">
        <v>1023</v>
      </c>
      <c r="E616" s="3284">
        <v>0</v>
      </c>
      <c r="F616" s="3285"/>
      <c r="G616" s="2686"/>
      <c r="H616" s="3282" t="e">
        <f t="shared" si="43"/>
        <v>#DIV/0!</v>
      </c>
    </row>
    <row r="617" spans="1:10" s="1702" customFormat="1" ht="18.75" customHeight="1" thickBot="1">
      <c r="A617" s="1756"/>
      <c r="B617" s="3026" t="s">
        <v>858</v>
      </c>
      <c r="C617" s="3295"/>
      <c r="D617" s="3294" t="s">
        <v>857</v>
      </c>
      <c r="E617" s="1765">
        <f t="shared" ref="E617:G619" si="44">SUM(E618)</f>
        <v>0</v>
      </c>
      <c r="F617" s="1765">
        <f t="shared" si="44"/>
        <v>58500</v>
      </c>
      <c r="G617" s="1764">
        <f t="shared" si="44"/>
        <v>71500</v>
      </c>
      <c r="H617" s="1763">
        <f t="shared" si="43"/>
        <v>1.2222222222222223</v>
      </c>
    </row>
    <row r="618" spans="1:10" s="1702" customFormat="1" ht="18" customHeight="1">
      <c r="A618" s="1756"/>
      <c r="B618" s="1885"/>
      <c r="C618" s="4541" t="s">
        <v>944</v>
      </c>
      <c r="D618" s="4542"/>
      <c r="E618" s="2538">
        <f t="shared" si="44"/>
        <v>0</v>
      </c>
      <c r="F618" s="2538">
        <f t="shared" si="44"/>
        <v>58500</v>
      </c>
      <c r="G618" s="1761">
        <f t="shared" si="44"/>
        <v>71500</v>
      </c>
      <c r="H618" s="2537">
        <f t="shared" si="43"/>
        <v>1.2222222222222223</v>
      </c>
    </row>
    <row r="619" spans="1:10" s="1702" customFormat="1" ht="17.25" customHeight="1">
      <c r="A619" s="1756"/>
      <c r="B619" s="1831"/>
      <c r="C619" s="4550" t="s">
        <v>943</v>
      </c>
      <c r="D619" s="4544"/>
      <c r="E619" s="3285">
        <f t="shared" si="44"/>
        <v>0</v>
      </c>
      <c r="F619" s="3285">
        <f t="shared" si="44"/>
        <v>58500</v>
      </c>
      <c r="G619" s="2686">
        <f t="shared" si="44"/>
        <v>71500</v>
      </c>
      <c r="H619" s="3184">
        <f t="shared" si="43"/>
        <v>1.2222222222222223</v>
      </c>
      <c r="J619" s="1702" t="s">
        <v>1285</v>
      </c>
    </row>
    <row r="620" spans="1:10" s="1702" customFormat="1" ht="47.25" customHeight="1" thickBot="1">
      <c r="A620" s="1756"/>
      <c r="B620" s="1847"/>
      <c r="C620" s="3277" t="s">
        <v>91</v>
      </c>
      <c r="D620" s="3276" t="s">
        <v>942</v>
      </c>
      <c r="E620" s="2636">
        <v>0</v>
      </c>
      <c r="F620" s="2636">
        <v>58500</v>
      </c>
      <c r="G620" s="1738">
        <v>71500</v>
      </c>
      <c r="H620" s="3282">
        <f t="shared" si="43"/>
        <v>1.2222222222222223</v>
      </c>
    </row>
    <row r="621" spans="1:10" s="1702" customFormat="1" ht="17.100000000000001" customHeight="1" thickBot="1">
      <c r="A621" s="1756"/>
      <c r="B621" s="2112" t="s">
        <v>1356</v>
      </c>
      <c r="C621" s="2111"/>
      <c r="D621" s="2110" t="s">
        <v>151</v>
      </c>
      <c r="E621" s="2109">
        <f>SUM(E622)</f>
        <v>4838917</v>
      </c>
      <c r="F621" s="2109">
        <f>SUM(F622)</f>
        <v>6767557</v>
      </c>
      <c r="G621" s="2108">
        <f>SUM(G622)</f>
        <v>398750</v>
      </c>
      <c r="H621" s="1763">
        <f t="shared" si="43"/>
        <v>5.8920818842013445E-2</v>
      </c>
    </row>
    <row r="622" spans="1:10" s="1702" customFormat="1" ht="17.100000000000001" customHeight="1">
      <c r="A622" s="1756"/>
      <c r="B622" s="1831"/>
      <c r="C622" s="4296" t="s">
        <v>944</v>
      </c>
      <c r="D622" s="4296"/>
      <c r="E622" s="2538">
        <f>SUM(E623,E650)</f>
        <v>4838917</v>
      </c>
      <c r="F622" s="3060">
        <f>SUM(F623,F650)</f>
        <v>6767557</v>
      </c>
      <c r="G622" s="1761">
        <f>SUM(G623,G650)</f>
        <v>398750</v>
      </c>
      <c r="H622" s="2537">
        <f t="shared" si="43"/>
        <v>5.8920818842013445E-2</v>
      </c>
      <c r="J622" s="1702" t="s">
        <v>1355</v>
      </c>
    </row>
    <row r="623" spans="1:10" s="1702" customFormat="1" ht="17.100000000000001" customHeight="1">
      <c r="A623" s="1756"/>
      <c r="B623" s="1831"/>
      <c r="C623" s="4521" t="s">
        <v>967</v>
      </c>
      <c r="D623" s="4521"/>
      <c r="E623" s="3285">
        <f>SUM(E624,E632)</f>
        <v>443000</v>
      </c>
      <c r="F623" s="3285">
        <f>SUM(F624,F632)</f>
        <v>443000</v>
      </c>
      <c r="G623" s="2686">
        <f>SUM(G624,G632)</f>
        <v>398750</v>
      </c>
      <c r="H623" s="3184">
        <f t="shared" si="43"/>
        <v>0.90011286681715574</v>
      </c>
    </row>
    <row r="624" spans="1:10" s="1702" customFormat="1" ht="17.100000000000001" customHeight="1">
      <c r="A624" s="1756"/>
      <c r="B624" s="1831"/>
      <c r="C624" s="4545" t="s">
        <v>966</v>
      </c>
      <c r="D624" s="4545"/>
      <c r="E624" s="3286">
        <f>SUM(E625:E628)</f>
        <v>338000</v>
      </c>
      <c r="F624" s="3286">
        <f>SUM(F625:F628)</f>
        <v>338000</v>
      </c>
      <c r="G624" s="2715">
        <f>SUM(G625:G628)</f>
        <v>287000</v>
      </c>
      <c r="H624" s="3206">
        <f t="shared" si="43"/>
        <v>0.84911242603550297</v>
      </c>
    </row>
    <row r="625" spans="1:10" s="1702" customFormat="1" ht="17.100000000000001" customHeight="1">
      <c r="A625" s="1756"/>
      <c r="B625" s="1831"/>
      <c r="C625" s="3222" t="s">
        <v>1016</v>
      </c>
      <c r="D625" s="3225" t="s">
        <v>1015</v>
      </c>
      <c r="E625" s="3285">
        <v>280780</v>
      </c>
      <c r="F625" s="3285">
        <v>280780</v>
      </c>
      <c r="G625" s="2686">
        <v>238410</v>
      </c>
      <c r="H625" s="3184">
        <f t="shared" si="43"/>
        <v>0.84909893867084552</v>
      </c>
    </row>
    <row r="626" spans="1:10" s="1702" customFormat="1" ht="17.100000000000001" hidden="1" customHeight="1">
      <c r="A626" s="1756"/>
      <c r="B626" s="1831"/>
      <c r="C626" s="3222" t="s">
        <v>1014</v>
      </c>
      <c r="D626" s="3225" t="s">
        <v>1013</v>
      </c>
      <c r="E626" s="3285">
        <v>0</v>
      </c>
      <c r="F626" s="3285"/>
      <c r="G626" s="2686"/>
      <c r="H626" s="3184" t="e">
        <f t="shared" si="43"/>
        <v>#DIV/0!</v>
      </c>
    </row>
    <row r="627" spans="1:10" s="1702" customFormat="1" ht="17.100000000000001" customHeight="1">
      <c r="A627" s="1756"/>
      <c r="B627" s="1831"/>
      <c r="C627" s="3222" t="s">
        <v>965</v>
      </c>
      <c r="D627" s="3225" t="s">
        <v>964</v>
      </c>
      <c r="E627" s="3285">
        <v>50340</v>
      </c>
      <c r="F627" s="3285">
        <v>50340</v>
      </c>
      <c r="G627" s="2686">
        <v>42740</v>
      </c>
      <c r="H627" s="3184">
        <f t="shared" si="43"/>
        <v>0.84902661899086218</v>
      </c>
    </row>
    <row r="628" spans="1:10" s="1702" customFormat="1" ht="27" customHeight="1">
      <c r="A628" s="1756"/>
      <c r="B628" s="1831"/>
      <c r="C628" s="3222" t="s">
        <v>963</v>
      </c>
      <c r="D628" s="3225" t="s">
        <v>962</v>
      </c>
      <c r="E628" s="3285">
        <v>6880</v>
      </c>
      <c r="F628" s="3285">
        <v>6880</v>
      </c>
      <c r="G628" s="2686">
        <v>5850</v>
      </c>
      <c r="H628" s="3184">
        <f t="shared" si="43"/>
        <v>0.85029069767441856</v>
      </c>
      <c r="J628" s="3293"/>
    </row>
    <row r="629" spans="1:10" s="1702" customFormat="1" ht="17.100000000000001" hidden="1" customHeight="1">
      <c r="A629" s="1756"/>
      <c r="B629" s="1831"/>
      <c r="C629" s="3222" t="s">
        <v>974</v>
      </c>
      <c r="D629" s="3225" t="s">
        <v>973</v>
      </c>
      <c r="E629" s="3285">
        <v>0</v>
      </c>
      <c r="F629" s="3285"/>
      <c r="G629" s="2686"/>
      <c r="H629" s="3184" t="e">
        <f t="shared" si="43"/>
        <v>#DIV/0!</v>
      </c>
    </row>
    <row r="630" spans="1:10" s="1702" customFormat="1" ht="17.100000000000001" hidden="1" customHeight="1">
      <c r="A630" s="1756"/>
      <c r="B630" s="1831"/>
      <c r="C630" s="3292" t="s">
        <v>1012</v>
      </c>
      <c r="D630" s="3225" t="s">
        <v>1011</v>
      </c>
      <c r="E630" s="3285">
        <v>0</v>
      </c>
      <c r="F630" s="3285"/>
      <c r="G630" s="2686"/>
      <c r="H630" s="3184" t="e">
        <f t="shared" si="43"/>
        <v>#DIV/0!</v>
      </c>
    </row>
    <row r="631" spans="1:10" s="1702" customFormat="1" ht="17.100000000000001" customHeight="1">
      <c r="A631" s="1831"/>
      <c r="B631" s="1831"/>
      <c r="C631" s="2808"/>
      <c r="D631" s="2772"/>
      <c r="E631" s="2808"/>
      <c r="F631" s="3285"/>
      <c r="G631" s="2686"/>
      <c r="H631" s="3184"/>
    </row>
    <row r="632" spans="1:10" s="1702" customFormat="1" ht="17.100000000000001" customHeight="1">
      <c r="A632" s="1756"/>
      <c r="B632" s="1831"/>
      <c r="C632" s="4375" t="s">
        <v>961</v>
      </c>
      <c r="D632" s="4375"/>
      <c r="E632" s="2771">
        <f>SUM(E638)</f>
        <v>105000</v>
      </c>
      <c r="F632" s="2771">
        <f>SUM(F633:F646)</f>
        <v>105000</v>
      </c>
      <c r="G632" s="1808">
        <f>SUM(G633:G646)</f>
        <v>111750</v>
      </c>
      <c r="H632" s="2770">
        <f>G632/F632</f>
        <v>1.0642857142857143</v>
      </c>
    </row>
    <row r="633" spans="1:10" s="1702" customFormat="1" ht="17.100000000000001" customHeight="1">
      <c r="A633" s="1756"/>
      <c r="B633" s="1831"/>
      <c r="C633" s="3222" t="s">
        <v>613</v>
      </c>
      <c r="D633" s="3225" t="s">
        <v>960</v>
      </c>
      <c r="E633" s="3285">
        <v>0</v>
      </c>
      <c r="F633" s="3285">
        <v>0</v>
      </c>
      <c r="G633" s="2686">
        <v>5750</v>
      </c>
      <c r="H633" s="3184"/>
    </row>
    <row r="634" spans="1:10" s="1702" customFormat="1" ht="17.100000000000001" hidden="1" customHeight="1">
      <c r="A634" s="1756"/>
      <c r="B634" s="1831"/>
      <c r="C634" s="3222" t="s">
        <v>1008</v>
      </c>
      <c r="D634" s="3225" t="s">
        <v>1007</v>
      </c>
      <c r="E634" s="3285">
        <v>0</v>
      </c>
      <c r="F634" s="3285"/>
      <c r="G634" s="2686"/>
      <c r="H634" s="3184" t="e">
        <f t="shared" ref="H634:H644" si="45">G634/F634</f>
        <v>#DIV/0!</v>
      </c>
    </row>
    <row r="635" spans="1:10" s="1702" customFormat="1" ht="17.100000000000001" hidden="1" customHeight="1">
      <c r="A635" s="1756"/>
      <c r="B635" s="1831"/>
      <c r="C635" s="3222" t="s">
        <v>1004</v>
      </c>
      <c r="D635" s="3225" t="s">
        <v>1003</v>
      </c>
      <c r="E635" s="3285">
        <v>0</v>
      </c>
      <c r="F635" s="3285"/>
      <c r="G635" s="2686"/>
      <c r="H635" s="3184" t="e">
        <f t="shared" si="45"/>
        <v>#DIV/0!</v>
      </c>
    </row>
    <row r="636" spans="1:10" s="1702" customFormat="1" ht="17.100000000000001" hidden="1" customHeight="1">
      <c r="A636" s="1756"/>
      <c r="B636" s="1831"/>
      <c r="C636" s="3222" t="s">
        <v>1002</v>
      </c>
      <c r="D636" s="3225" t="s">
        <v>1001</v>
      </c>
      <c r="E636" s="3285">
        <v>0</v>
      </c>
      <c r="F636" s="3285"/>
      <c r="G636" s="2686"/>
      <c r="H636" s="3184" t="e">
        <f t="shared" si="45"/>
        <v>#DIV/0!</v>
      </c>
    </row>
    <row r="637" spans="1:10" s="1702" customFormat="1" ht="17.100000000000001" hidden="1" customHeight="1">
      <c r="A637" s="1756"/>
      <c r="B637" s="1831"/>
      <c r="C637" s="3222" t="s">
        <v>1000</v>
      </c>
      <c r="D637" s="3225" t="s">
        <v>999</v>
      </c>
      <c r="E637" s="3285">
        <v>0</v>
      </c>
      <c r="F637" s="3285"/>
      <c r="G637" s="2686"/>
      <c r="H637" s="3184" t="e">
        <f t="shared" si="45"/>
        <v>#DIV/0!</v>
      </c>
    </row>
    <row r="638" spans="1:10" s="1702" customFormat="1" ht="17.100000000000001" customHeight="1">
      <c r="A638" s="1756"/>
      <c r="B638" s="1831"/>
      <c r="C638" s="3222" t="s">
        <v>959</v>
      </c>
      <c r="D638" s="3225" t="s">
        <v>958</v>
      </c>
      <c r="E638" s="3285">
        <v>105000</v>
      </c>
      <c r="F638" s="3285">
        <v>105000</v>
      </c>
      <c r="G638" s="2686">
        <v>96000</v>
      </c>
      <c r="H638" s="3184">
        <f t="shared" si="45"/>
        <v>0.91428571428571426</v>
      </c>
    </row>
    <row r="639" spans="1:10" s="1702" customFormat="1" ht="16.5" hidden="1" customHeight="1">
      <c r="A639" s="1756"/>
      <c r="B639" s="1831"/>
      <c r="C639" s="3222" t="s">
        <v>998</v>
      </c>
      <c r="D639" s="3225" t="s">
        <v>1090</v>
      </c>
      <c r="E639" s="3285">
        <v>0</v>
      </c>
      <c r="F639" s="3285"/>
      <c r="G639" s="2686"/>
      <c r="H639" s="3184" t="e">
        <f t="shared" si="45"/>
        <v>#DIV/0!</v>
      </c>
    </row>
    <row r="640" spans="1:10" s="1702" customFormat="1" ht="26.25" hidden="1" customHeight="1">
      <c r="A640" s="1756"/>
      <c r="B640" s="1831"/>
      <c r="C640" s="3222" t="s">
        <v>994</v>
      </c>
      <c r="D640" s="3225" t="s">
        <v>993</v>
      </c>
      <c r="E640" s="3285">
        <v>0</v>
      </c>
      <c r="F640" s="3285"/>
      <c r="G640" s="2686"/>
      <c r="H640" s="3184" t="e">
        <f t="shared" si="45"/>
        <v>#DIV/0!</v>
      </c>
    </row>
    <row r="641" spans="1:8" s="1702" customFormat="1" ht="17.100000000000001" hidden="1" customHeight="1">
      <c r="A641" s="1756"/>
      <c r="B641" s="1831"/>
      <c r="C641" s="3222" t="s">
        <v>992</v>
      </c>
      <c r="D641" s="3225" t="s">
        <v>991</v>
      </c>
      <c r="E641" s="3285">
        <v>0</v>
      </c>
      <c r="F641" s="3285"/>
      <c r="G641" s="2686"/>
      <c r="H641" s="3184" t="e">
        <f t="shared" si="45"/>
        <v>#DIV/0!</v>
      </c>
    </row>
    <row r="642" spans="1:8" s="1702" customFormat="1" ht="17.100000000000001" hidden="1" customHeight="1">
      <c r="A642" s="1756"/>
      <c r="B642" s="1831"/>
      <c r="C642" s="3222" t="s">
        <v>988</v>
      </c>
      <c r="D642" s="3225" t="s">
        <v>987</v>
      </c>
      <c r="E642" s="3285">
        <v>0</v>
      </c>
      <c r="F642" s="3285"/>
      <c r="G642" s="2686"/>
      <c r="H642" s="3184" t="e">
        <f t="shared" si="45"/>
        <v>#DIV/0!</v>
      </c>
    </row>
    <row r="643" spans="1:8" s="1702" customFormat="1" ht="17.100000000000001" hidden="1" customHeight="1">
      <c r="A643" s="1756"/>
      <c r="B643" s="1831"/>
      <c r="C643" s="3222" t="s">
        <v>986</v>
      </c>
      <c r="D643" s="3225" t="s">
        <v>985</v>
      </c>
      <c r="E643" s="3285">
        <v>0</v>
      </c>
      <c r="F643" s="3285"/>
      <c r="G643" s="2686"/>
      <c r="H643" s="3184" t="e">
        <f t="shared" si="45"/>
        <v>#DIV/0!</v>
      </c>
    </row>
    <row r="644" spans="1:8" s="1702" customFormat="1" ht="17.100000000000001" hidden="1" customHeight="1">
      <c r="A644" s="1756"/>
      <c r="B644" s="1831"/>
      <c r="C644" s="3222" t="s">
        <v>984</v>
      </c>
      <c r="D644" s="3225" t="s">
        <v>983</v>
      </c>
      <c r="E644" s="3285">
        <v>0</v>
      </c>
      <c r="F644" s="3285"/>
      <c r="G644" s="2686"/>
      <c r="H644" s="3184" t="e">
        <f t="shared" si="45"/>
        <v>#DIV/0!</v>
      </c>
    </row>
    <row r="645" spans="1:8" s="1702" customFormat="1" ht="18" customHeight="1" thickBot="1">
      <c r="A645" s="1756"/>
      <c r="B645" s="1831"/>
      <c r="C645" s="3222" t="s">
        <v>982</v>
      </c>
      <c r="D645" s="3225" t="s">
        <v>981</v>
      </c>
      <c r="E645" s="3285">
        <v>0</v>
      </c>
      <c r="F645" s="3285">
        <v>0</v>
      </c>
      <c r="G645" s="2686">
        <v>10000</v>
      </c>
      <c r="H645" s="3184"/>
    </row>
    <row r="646" spans="1:8" s="1702" customFormat="1" ht="12" hidden="1" customHeight="1">
      <c r="A646" s="1756"/>
      <c r="B646" s="1831"/>
      <c r="C646" s="2766"/>
      <c r="D646" s="2766"/>
      <c r="E646" s="2765"/>
      <c r="F646" s="3285"/>
      <c r="G646" s="2686"/>
      <c r="H646" s="3184"/>
    </row>
    <row r="647" spans="1:8" s="1702" customFormat="1" ht="17.100000000000001" hidden="1" customHeight="1">
      <c r="A647" s="1756"/>
      <c r="B647" s="1831"/>
      <c r="C647" s="4529" t="s">
        <v>952</v>
      </c>
      <c r="D647" s="4529"/>
      <c r="E647" s="3284">
        <v>0</v>
      </c>
      <c r="F647" s="3285"/>
      <c r="G647" s="2686"/>
      <c r="H647" s="3184"/>
    </row>
    <row r="648" spans="1:8" s="1702" customFormat="1" ht="17.100000000000001" hidden="1" customHeight="1">
      <c r="A648" s="1756"/>
      <c r="B648" s="1831"/>
      <c r="C648" s="2699" t="s">
        <v>980</v>
      </c>
      <c r="D648" s="3124" t="s">
        <v>979</v>
      </c>
      <c r="E648" s="3285">
        <v>0</v>
      </c>
      <c r="F648" s="3285"/>
      <c r="G648" s="2686"/>
      <c r="H648" s="3184"/>
    </row>
    <row r="649" spans="1:8" s="1702" customFormat="1" ht="18.75" hidden="1" customHeight="1">
      <c r="A649" s="1756"/>
      <c r="B649" s="1831"/>
      <c r="C649" s="2131"/>
      <c r="D649" s="2130"/>
      <c r="E649" s="1877"/>
      <c r="F649" s="3285"/>
      <c r="G649" s="2686"/>
      <c r="H649" s="3184"/>
    </row>
    <row r="650" spans="1:8" s="1702" customFormat="1" ht="17.25" hidden="1" customHeight="1">
      <c r="A650" s="1756"/>
      <c r="B650" s="1831"/>
      <c r="C650" s="4521" t="s">
        <v>976</v>
      </c>
      <c r="D650" s="4521"/>
      <c r="E650" s="3262">
        <f>SUM(E651)</f>
        <v>4395917</v>
      </c>
      <c r="F650" s="3262">
        <f>SUM(F651)</f>
        <v>6324557</v>
      </c>
      <c r="G650" s="3278">
        <f>SUM(G651)</f>
        <v>0</v>
      </c>
      <c r="H650" s="3184">
        <f t="shared" ref="H650:H688" si="46">G650/F650</f>
        <v>0</v>
      </c>
    </row>
    <row r="651" spans="1:8" s="1702" customFormat="1" ht="59.25" hidden="1" customHeight="1" thickBot="1">
      <c r="A651" s="1756"/>
      <c r="B651" s="1847"/>
      <c r="C651" s="3205" t="s">
        <v>183</v>
      </c>
      <c r="D651" s="3259" t="s">
        <v>1095</v>
      </c>
      <c r="E651" s="3261">
        <v>4395917</v>
      </c>
      <c r="F651" s="2636">
        <v>6324557</v>
      </c>
      <c r="G651" s="1738">
        <v>0</v>
      </c>
      <c r="H651" s="3184">
        <f t="shared" si="46"/>
        <v>0</v>
      </c>
    </row>
    <row r="652" spans="1:8" s="1702" customFormat="1" ht="58.5" hidden="1" customHeight="1" thickBot="1">
      <c r="A652" s="1756"/>
      <c r="B652" s="1831"/>
      <c r="C652" s="1865" t="s">
        <v>157</v>
      </c>
      <c r="D652" s="3290" t="s">
        <v>1127</v>
      </c>
      <c r="E652" s="3291">
        <v>0</v>
      </c>
      <c r="F652" s="2500"/>
      <c r="G652" s="1802"/>
      <c r="H652" s="3184" t="e">
        <f t="shared" si="46"/>
        <v>#DIV/0!</v>
      </c>
    </row>
    <row r="653" spans="1:8" s="1702" customFormat="1" ht="16.5" hidden="1" customHeight="1" thickBot="1">
      <c r="A653" s="1756"/>
      <c r="B653" s="1831"/>
      <c r="C653" s="3224" t="s">
        <v>446</v>
      </c>
      <c r="D653" s="3290" t="s">
        <v>958</v>
      </c>
      <c r="E653" s="3262">
        <v>0</v>
      </c>
      <c r="F653" s="3285"/>
      <c r="G653" s="2686"/>
      <c r="H653" s="3184" t="e">
        <f t="shared" si="46"/>
        <v>#DIV/0!</v>
      </c>
    </row>
    <row r="654" spans="1:8" s="1702" customFormat="1" ht="15" hidden="1" customHeight="1" thickBot="1">
      <c r="A654" s="1756"/>
      <c r="B654" s="1831"/>
      <c r="C654" s="2699" t="s">
        <v>445</v>
      </c>
      <c r="D654" s="3289" t="s">
        <v>958</v>
      </c>
      <c r="E654" s="3262">
        <v>0</v>
      </c>
      <c r="F654" s="3285"/>
      <c r="G654" s="2686"/>
      <c r="H654" s="3184" t="e">
        <f t="shared" si="46"/>
        <v>#DIV/0!</v>
      </c>
    </row>
    <row r="655" spans="1:8" s="1702" customFormat="1" ht="63" hidden="1" customHeight="1" thickBot="1">
      <c r="A655" s="1756"/>
      <c r="B655" s="1831"/>
      <c r="C655" s="2699" t="s">
        <v>488</v>
      </c>
      <c r="D655" s="3289" t="s">
        <v>1137</v>
      </c>
      <c r="E655" s="3262">
        <v>0</v>
      </c>
      <c r="F655" s="3285"/>
      <c r="G655" s="2686"/>
      <c r="H655" s="3184" t="e">
        <f t="shared" si="46"/>
        <v>#DIV/0!</v>
      </c>
    </row>
    <row r="656" spans="1:8" s="1702" customFormat="1" ht="13.5" hidden="1" customHeight="1" thickBot="1">
      <c r="A656" s="1756"/>
      <c r="B656" s="1831"/>
      <c r="C656" s="2131"/>
      <c r="D656" s="3288"/>
      <c r="E656" s="1877"/>
      <c r="F656" s="3285"/>
      <c r="G656" s="2686"/>
      <c r="H656" s="3184" t="e">
        <f t="shared" si="46"/>
        <v>#DIV/0!</v>
      </c>
    </row>
    <row r="657" spans="1:8" s="1702" customFormat="1" ht="15.75" hidden="1" customHeight="1" thickBot="1">
      <c r="A657" s="1756"/>
      <c r="B657" s="1755"/>
      <c r="C657" s="4537" t="s">
        <v>941</v>
      </c>
      <c r="D657" s="4538"/>
      <c r="E657" s="3287">
        <v>0</v>
      </c>
      <c r="F657" s="3285"/>
      <c r="G657" s="2686"/>
      <c r="H657" s="3184" t="e">
        <f t="shared" si="46"/>
        <v>#DIV/0!</v>
      </c>
    </row>
    <row r="658" spans="1:8" s="1702" customFormat="1" ht="15.75" hidden="1" customHeight="1" thickBot="1">
      <c r="A658" s="1756"/>
      <c r="B658" s="1755"/>
      <c r="C658" s="4522" t="s">
        <v>940</v>
      </c>
      <c r="D658" s="4522"/>
      <c r="E658" s="3285">
        <v>0</v>
      </c>
      <c r="F658" s="3285"/>
      <c r="G658" s="2686"/>
      <c r="H658" s="3184" t="e">
        <f t="shared" si="46"/>
        <v>#DIV/0!</v>
      </c>
    </row>
    <row r="659" spans="1:8" s="1702" customFormat="1" ht="15.75" hidden="1" customHeight="1" thickBot="1">
      <c r="A659" s="1756"/>
      <c r="B659" s="1755"/>
      <c r="C659" s="3222" t="s">
        <v>553</v>
      </c>
      <c r="D659" s="3225" t="s">
        <v>1072</v>
      </c>
      <c r="E659" s="3285">
        <v>0</v>
      </c>
      <c r="F659" s="3285"/>
      <c r="G659" s="2686"/>
      <c r="H659" s="3184" t="e">
        <f t="shared" si="46"/>
        <v>#DIV/0!</v>
      </c>
    </row>
    <row r="660" spans="1:8" s="1702" customFormat="1" ht="17.25" hidden="1" customHeight="1" thickBot="1">
      <c r="A660" s="1756"/>
      <c r="B660" s="1768" t="s">
        <v>1353</v>
      </c>
      <c r="C660" s="2105"/>
      <c r="D660" s="1838" t="s">
        <v>1352</v>
      </c>
      <c r="E660" s="1818">
        <v>0</v>
      </c>
      <c r="F660" s="3285"/>
      <c r="G660" s="2686"/>
      <c r="H660" s="3184" t="e">
        <f t="shared" si="46"/>
        <v>#DIV/0!</v>
      </c>
    </row>
    <row r="661" spans="1:8" s="1702" customFormat="1" ht="15.75" hidden="1" customHeight="1" thickBot="1">
      <c r="A661" s="1756"/>
      <c r="B661" s="4084"/>
      <c r="C661" s="4296" t="s">
        <v>944</v>
      </c>
      <c r="D661" s="4296"/>
      <c r="E661" s="2538">
        <v>0</v>
      </c>
      <c r="F661" s="3285"/>
      <c r="G661" s="2686"/>
      <c r="H661" s="3184" t="e">
        <f t="shared" si="46"/>
        <v>#DIV/0!</v>
      </c>
    </row>
    <row r="662" spans="1:8" s="1702" customFormat="1" ht="16.5" hidden="1" customHeight="1" thickBot="1">
      <c r="A662" s="1756"/>
      <c r="B662" s="4084"/>
      <c r="C662" s="4522" t="s">
        <v>943</v>
      </c>
      <c r="D662" s="4522"/>
      <c r="E662" s="3286">
        <v>0</v>
      </c>
      <c r="F662" s="3285"/>
      <c r="G662" s="2686"/>
      <c r="H662" s="3184" t="e">
        <f t="shared" si="46"/>
        <v>#DIV/0!</v>
      </c>
    </row>
    <row r="663" spans="1:8" s="1702" customFormat="1" ht="33.75" hidden="1" customHeight="1" thickBot="1">
      <c r="A663" s="1756"/>
      <c r="B663" s="4084"/>
      <c r="C663" s="3222" t="s">
        <v>91</v>
      </c>
      <c r="D663" s="3225" t="s">
        <v>942</v>
      </c>
      <c r="E663" s="3285">
        <v>0</v>
      </c>
      <c r="F663" s="3285"/>
      <c r="G663" s="2686"/>
      <c r="H663" s="3184" t="e">
        <f t="shared" si="46"/>
        <v>#DIV/0!</v>
      </c>
    </row>
    <row r="664" spans="1:8" s="1702" customFormat="1" ht="15.75" hidden="1" customHeight="1" thickBot="1">
      <c r="A664" s="1756"/>
      <c r="B664" s="1755"/>
      <c r="C664" s="1865"/>
      <c r="D664" s="1864"/>
      <c r="E664" s="2500"/>
      <c r="F664" s="3285"/>
      <c r="G664" s="2686"/>
      <c r="H664" s="3184" t="e">
        <f t="shared" si="46"/>
        <v>#DIV/0!</v>
      </c>
    </row>
    <row r="665" spans="1:8" s="1702" customFormat="1" ht="18.75" hidden="1" customHeight="1" thickBot="1">
      <c r="A665" s="1756"/>
      <c r="B665" s="1755"/>
      <c r="C665" s="4539" t="s">
        <v>941</v>
      </c>
      <c r="D665" s="4540"/>
      <c r="E665" s="2538">
        <v>0</v>
      </c>
      <c r="F665" s="3285"/>
      <c r="G665" s="2686"/>
      <c r="H665" s="3184" t="e">
        <f t="shared" si="46"/>
        <v>#DIV/0!</v>
      </c>
    </row>
    <row r="666" spans="1:8" s="1702" customFormat="1" ht="17.25" hidden="1" customHeight="1" thickBot="1">
      <c r="A666" s="1756"/>
      <c r="B666" s="1755"/>
      <c r="C666" s="4102" t="s">
        <v>1354</v>
      </c>
      <c r="D666" s="4102"/>
      <c r="E666" s="1877">
        <v>0</v>
      </c>
      <c r="F666" s="3284"/>
      <c r="G666" s="3283"/>
      <c r="H666" s="3282" t="e">
        <f t="shared" si="46"/>
        <v>#DIV/0!</v>
      </c>
    </row>
    <row r="667" spans="1:8" s="1702" customFormat="1" ht="18" hidden="1" customHeight="1" thickBot="1">
      <c r="A667" s="1756"/>
      <c r="B667" s="3281" t="s">
        <v>1353</v>
      </c>
      <c r="C667" s="3280"/>
      <c r="D667" s="3279" t="s">
        <v>1352</v>
      </c>
      <c r="E667" s="1765">
        <f t="shared" ref="E667:G669" si="47">SUM(E668)</f>
        <v>0</v>
      </c>
      <c r="F667" s="1765">
        <f t="shared" si="47"/>
        <v>12000</v>
      </c>
      <c r="G667" s="1764">
        <f t="shared" si="47"/>
        <v>0</v>
      </c>
      <c r="H667" s="1763">
        <f t="shared" si="46"/>
        <v>0</v>
      </c>
    </row>
    <row r="668" spans="1:8" s="1702" customFormat="1" ht="18" hidden="1" customHeight="1">
      <c r="A668" s="1756"/>
      <c r="B668" s="4493"/>
      <c r="C668" s="4541" t="s">
        <v>944</v>
      </c>
      <c r="D668" s="4542"/>
      <c r="E668" s="2538">
        <f t="shared" si="47"/>
        <v>0</v>
      </c>
      <c r="F668" s="2538">
        <f t="shared" si="47"/>
        <v>12000</v>
      </c>
      <c r="G668" s="1761">
        <f t="shared" si="47"/>
        <v>0</v>
      </c>
      <c r="H668" s="2537">
        <f t="shared" si="46"/>
        <v>0</v>
      </c>
    </row>
    <row r="669" spans="1:8" s="1702" customFormat="1" ht="18" hidden="1" customHeight="1">
      <c r="A669" s="1756"/>
      <c r="B669" s="4493"/>
      <c r="C669" s="4543" t="s">
        <v>943</v>
      </c>
      <c r="D669" s="4544"/>
      <c r="E669" s="3262">
        <f t="shared" si="47"/>
        <v>0</v>
      </c>
      <c r="F669" s="3262">
        <f t="shared" si="47"/>
        <v>12000</v>
      </c>
      <c r="G669" s="3278">
        <f t="shared" si="47"/>
        <v>0</v>
      </c>
      <c r="H669" s="3184">
        <f t="shared" si="46"/>
        <v>0</v>
      </c>
    </row>
    <row r="670" spans="1:8" s="1702" customFormat="1" ht="48" hidden="1" customHeight="1" thickBot="1">
      <c r="A670" s="1743"/>
      <c r="B670" s="4494"/>
      <c r="C670" s="3277" t="s">
        <v>91</v>
      </c>
      <c r="D670" s="3276" t="s">
        <v>942</v>
      </c>
      <c r="E670" s="2636">
        <v>0</v>
      </c>
      <c r="F670" s="2636">
        <v>12000</v>
      </c>
      <c r="G670" s="1738">
        <v>0</v>
      </c>
      <c r="H670" s="2617">
        <f t="shared" si="46"/>
        <v>0</v>
      </c>
    </row>
    <row r="671" spans="1:8" s="1702" customFormat="1" ht="6" hidden="1" customHeight="1" thickBot="1">
      <c r="A671" s="1756"/>
      <c r="B671" s="1755"/>
      <c r="C671" s="1865" t="s">
        <v>939</v>
      </c>
      <c r="D671" s="2504" t="s">
        <v>938</v>
      </c>
      <c r="E671" s="2500">
        <v>0</v>
      </c>
      <c r="F671" s="1873"/>
      <c r="G671" s="1872"/>
      <c r="H671" s="1731" t="e">
        <f t="shared" si="46"/>
        <v>#DIV/0!</v>
      </c>
    </row>
    <row r="672" spans="1:8" s="1702" customFormat="1" ht="22.5" customHeight="1" thickBot="1">
      <c r="A672" s="1844" t="s">
        <v>1351</v>
      </c>
      <c r="B672" s="1843"/>
      <c r="C672" s="1842"/>
      <c r="D672" s="1841" t="s">
        <v>1350</v>
      </c>
      <c r="E672" s="1737">
        <f>SUM(E673)</f>
        <v>20457545</v>
      </c>
      <c r="F672" s="1737">
        <f>SUM(F673)</f>
        <v>8891115</v>
      </c>
      <c r="G672" s="1736">
        <f>SUM(G673)</f>
        <v>23472601</v>
      </c>
      <c r="H672" s="1735">
        <f t="shared" si="46"/>
        <v>2.6400064558832046</v>
      </c>
    </row>
    <row r="673" spans="1:8" s="1702" customFormat="1" ht="17.100000000000001" customHeight="1" thickBot="1">
      <c r="A673" s="1886"/>
      <c r="B673" s="1768" t="s">
        <v>614</v>
      </c>
      <c r="C673" s="1839"/>
      <c r="D673" s="1838" t="s">
        <v>50</v>
      </c>
      <c r="E673" s="1818">
        <f>SUM(E674,E696)</f>
        <v>20457545</v>
      </c>
      <c r="F673" s="1818">
        <f>SUM(F674,F696)</f>
        <v>8891115</v>
      </c>
      <c r="G673" s="1817">
        <f>SUM(G674,G696)</f>
        <v>23472601</v>
      </c>
      <c r="H673" s="1763">
        <f t="shared" si="46"/>
        <v>2.6400064558832046</v>
      </c>
    </row>
    <row r="674" spans="1:8" s="1702" customFormat="1" ht="17.100000000000001" customHeight="1">
      <c r="A674" s="1756"/>
      <c r="B674" s="2480"/>
      <c r="C674" s="4296" t="s">
        <v>944</v>
      </c>
      <c r="D674" s="4296"/>
      <c r="E674" s="2538">
        <f>SUM(E675,E690)</f>
        <v>8432170</v>
      </c>
      <c r="F674" s="2538">
        <f>SUM(F675,F690)</f>
        <v>8434628</v>
      </c>
      <c r="G674" s="1761">
        <f>SUM(G675,G690)</f>
        <v>11246171</v>
      </c>
      <c r="H674" s="2537">
        <f t="shared" si="46"/>
        <v>1.3333333728529582</v>
      </c>
    </row>
    <row r="675" spans="1:8" s="1702" customFormat="1" ht="17.100000000000001" customHeight="1">
      <c r="A675" s="1756"/>
      <c r="B675" s="2480"/>
      <c r="C675" s="4521" t="s">
        <v>967</v>
      </c>
      <c r="D675" s="4521"/>
      <c r="E675" s="2687">
        <f>SUM(E676)</f>
        <v>8432170</v>
      </c>
      <c r="F675" s="2687">
        <f>SUM(F676)</f>
        <v>8432170</v>
      </c>
      <c r="G675" s="2686">
        <f>SUM(G676)</f>
        <v>11246171</v>
      </c>
      <c r="H675" s="3184">
        <f t="shared" si="46"/>
        <v>1.333722043080251</v>
      </c>
    </row>
    <row r="676" spans="1:8" s="1702" customFormat="1" ht="17.100000000000001" customHeight="1">
      <c r="A676" s="1756"/>
      <c r="B676" s="2480"/>
      <c r="C676" s="4517" t="s">
        <v>961</v>
      </c>
      <c r="D676" s="4517"/>
      <c r="E676" s="2694">
        <f>SUM(E677:E688)</f>
        <v>8432170</v>
      </c>
      <c r="F676" s="2694">
        <f>SUM(F677:F688)</f>
        <v>8432170</v>
      </c>
      <c r="G676" s="2715">
        <f>SUM(G677:G688)</f>
        <v>11246171</v>
      </c>
      <c r="H676" s="3206">
        <f t="shared" si="46"/>
        <v>1.333722043080251</v>
      </c>
    </row>
    <row r="677" spans="1:8" s="1702" customFormat="1" ht="17.100000000000001" customHeight="1">
      <c r="A677" s="1756"/>
      <c r="B677" s="2480"/>
      <c r="C677" s="3222" t="s">
        <v>613</v>
      </c>
      <c r="D677" s="3225" t="s">
        <v>960</v>
      </c>
      <c r="E677" s="2687">
        <v>10000</v>
      </c>
      <c r="F677" s="2687">
        <v>10000</v>
      </c>
      <c r="G677" s="2686">
        <v>25000</v>
      </c>
      <c r="H677" s="3184">
        <f t="shared" si="46"/>
        <v>2.5</v>
      </c>
    </row>
    <row r="678" spans="1:8" s="1702" customFormat="1" ht="17.100000000000001" customHeight="1">
      <c r="A678" s="1756"/>
      <c r="B678" s="2480"/>
      <c r="C678" s="3222" t="s">
        <v>1004</v>
      </c>
      <c r="D678" s="3225" t="s">
        <v>1003</v>
      </c>
      <c r="E678" s="2687">
        <v>34000</v>
      </c>
      <c r="F678" s="2687">
        <v>34000</v>
      </c>
      <c r="G678" s="2686">
        <v>100000</v>
      </c>
      <c r="H678" s="3184">
        <f t="shared" si="46"/>
        <v>2.9411764705882355</v>
      </c>
    </row>
    <row r="679" spans="1:8" s="1702" customFormat="1" ht="17.100000000000001" customHeight="1" thickBot="1">
      <c r="A679" s="1743"/>
      <c r="B679" s="2849"/>
      <c r="C679" s="3710" t="s">
        <v>1002</v>
      </c>
      <c r="D679" s="3711" t="s">
        <v>1001</v>
      </c>
      <c r="E679" s="3712">
        <v>120000</v>
      </c>
      <c r="F679" s="3712">
        <v>120000</v>
      </c>
      <c r="G679" s="1738">
        <v>135000</v>
      </c>
      <c r="H679" s="3184">
        <f t="shared" si="46"/>
        <v>1.125</v>
      </c>
    </row>
    <row r="680" spans="1:8" s="1702" customFormat="1" ht="17.100000000000001" customHeight="1" thickBot="1">
      <c r="A680" s="1743"/>
      <c r="B680" s="2849"/>
      <c r="C680" s="2114" t="s">
        <v>959</v>
      </c>
      <c r="D680" s="3709" t="s">
        <v>958</v>
      </c>
      <c r="E680" s="1873">
        <v>2860000</v>
      </c>
      <c r="F680" s="1873">
        <v>2860000</v>
      </c>
      <c r="G680" s="1872">
        <v>5670000</v>
      </c>
      <c r="H680" s="3184">
        <f t="shared" si="46"/>
        <v>1.9825174825174825</v>
      </c>
    </row>
    <row r="681" spans="1:8" s="1702" customFormat="1" ht="17.100000000000001" customHeight="1">
      <c r="A681" s="1886"/>
      <c r="B681" s="3275"/>
      <c r="C681" s="2794" t="s">
        <v>998</v>
      </c>
      <c r="D681" s="2793" t="s">
        <v>997</v>
      </c>
      <c r="E681" s="3230">
        <v>6000</v>
      </c>
      <c r="F681" s="3230">
        <v>6000</v>
      </c>
      <c r="G681" s="2141">
        <v>10000</v>
      </c>
      <c r="H681" s="3184">
        <f t="shared" si="46"/>
        <v>1.6666666666666667</v>
      </c>
    </row>
    <row r="682" spans="1:8" s="1702" customFormat="1" ht="17.100000000000001" customHeight="1">
      <c r="A682" s="1756"/>
      <c r="B682" s="2480"/>
      <c r="C682" s="3222" t="s">
        <v>996</v>
      </c>
      <c r="D682" s="3225" t="s">
        <v>995</v>
      </c>
      <c r="E682" s="2687">
        <v>315905</v>
      </c>
      <c r="F682" s="2687">
        <v>315905</v>
      </c>
      <c r="G682" s="2686">
        <v>775171</v>
      </c>
      <c r="H682" s="3184">
        <f t="shared" si="46"/>
        <v>2.4538104809990346</v>
      </c>
    </row>
    <row r="683" spans="1:8" s="1702" customFormat="1" ht="25.5" customHeight="1">
      <c r="A683" s="1756"/>
      <c r="B683" s="1755"/>
      <c r="C683" s="2778" t="s">
        <v>994</v>
      </c>
      <c r="D683" s="3225" t="s">
        <v>993</v>
      </c>
      <c r="E683" s="2687">
        <v>10000</v>
      </c>
      <c r="F683" s="2687">
        <v>10000</v>
      </c>
      <c r="G683" s="2686">
        <v>20000</v>
      </c>
      <c r="H683" s="3184">
        <f t="shared" si="46"/>
        <v>2</v>
      </c>
    </row>
    <row r="684" spans="1:8" s="1702" customFormat="1" ht="16.5" customHeight="1">
      <c r="A684" s="1756"/>
      <c r="B684" s="1755"/>
      <c r="C684" s="2778" t="s">
        <v>988</v>
      </c>
      <c r="D684" s="3225" t="s">
        <v>987</v>
      </c>
      <c r="E684" s="2687">
        <v>3855500</v>
      </c>
      <c r="F684" s="2687">
        <v>3855500</v>
      </c>
      <c r="G684" s="2686">
        <v>3570000</v>
      </c>
      <c r="H684" s="3184">
        <f t="shared" si="46"/>
        <v>0.92594994164181044</v>
      </c>
    </row>
    <row r="685" spans="1:8" s="1702" customFormat="1" ht="16.5" customHeight="1">
      <c r="A685" s="1756"/>
      <c r="B685" s="1755"/>
      <c r="C685" s="2778" t="s">
        <v>1158</v>
      </c>
      <c r="D685" s="3225" t="s">
        <v>1157</v>
      </c>
      <c r="E685" s="2687">
        <v>1070765</v>
      </c>
      <c r="F685" s="2687">
        <v>1070765</v>
      </c>
      <c r="G685" s="2686">
        <v>821000</v>
      </c>
      <c r="H685" s="3184">
        <f t="shared" si="46"/>
        <v>0.76674153525750277</v>
      </c>
    </row>
    <row r="686" spans="1:8" s="1702" customFormat="1" ht="16.5" hidden="1" customHeight="1">
      <c r="A686" s="1756"/>
      <c r="B686" s="1755"/>
      <c r="C686" s="2778" t="s">
        <v>1293</v>
      </c>
      <c r="D686" s="3225" t="s">
        <v>1292</v>
      </c>
      <c r="E686" s="2687">
        <v>0</v>
      </c>
      <c r="F686" s="2687"/>
      <c r="G686" s="2686"/>
      <c r="H686" s="3184" t="e">
        <f t="shared" si="46"/>
        <v>#DIV/0!</v>
      </c>
    </row>
    <row r="687" spans="1:8" s="1702" customFormat="1" ht="16.5" hidden="1" customHeight="1">
      <c r="A687" s="1756"/>
      <c r="B687" s="1755"/>
      <c r="C687" s="2778" t="s">
        <v>1122</v>
      </c>
      <c r="D687" s="3225" t="s">
        <v>1118</v>
      </c>
      <c r="E687" s="2687">
        <v>0</v>
      </c>
      <c r="F687" s="2687"/>
      <c r="G687" s="2686"/>
      <c r="H687" s="3184" t="e">
        <f t="shared" si="46"/>
        <v>#DIV/0!</v>
      </c>
    </row>
    <row r="688" spans="1:8" s="1702" customFormat="1" ht="16.5" customHeight="1">
      <c r="A688" s="1756"/>
      <c r="B688" s="1755"/>
      <c r="C688" s="3222" t="s">
        <v>982</v>
      </c>
      <c r="D688" s="3225" t="s">
        <v>981</v>
      </c>
      <c r="E688" s="2687">
        <v>150000</v>
      </c>
      <c r="F688" s="2687">
        <v>150000</v>
      </c>
      <c r="G688" s="2686">
        <v>120000</v>
      </c>
      <c r="H688" s="3184">
        <f t="shared" si="46"/>
        <v>0.8</v>
      </c>
    </row>
    <row r="689" spans="1:8" s="1702" customFormat="1" ht="13.5" hidden="1" customHeight="1">
      <c r="A689" s="1831"/>
      <c r="B689" s="1755"/>
      <c r="C689" s="3273"/>
      <c r="D689" s="3272"/>
      <c r="E689" s="2687"/>
      <c r="F689" s="2687"/>
      <c r="G689" s="2686"/>
      <c r="H689" s="3184"/>
    </row>
    <row r="690" spans="1:8" s="1702" customFormat="1" ht="16.5" hidden="1" customHeight="1">
      <c r="A690" s="1756"/>
      <c r="B690" s="1755"/>
      <c r="C690" s="4365" t="s">
        <v>976</v>
      </c>
      <c r="D690" s="4340"/>
      <c r="E690" s="2500">
        <f>SUM(E691:E693)</f>
        <v>0</v>
      </c>
      <c r="F690" s="2500">
        <f>SUM(F691:F693)</f>
        <v>2458</v>
      </c>
      <c r="G690" s="1802">
        <f>SUM(G691:G693)</f>
        <v>0</v>
      </c>
      <c r="H690" s="2503">
        <f>G690/F690</f>
        <v>0</v>
      </c>
    </row>
    <row r="691" spans="1:8" s="1702" customFormat="1" ht="16.5" hidden="1" customHeight="1">
      <c r="A691" s="1756"/>
      <c r="B691" s="1755"/>
      <c r="C691" s="3239" t="s">
        <v>613</v>
      </c>
      <c r="D691" s="3225" t="s">
        <v>960</v>
      </c>
      <c r="E691" s="2687">
        <v>0</v>
      </c>
      <c r="F691" s="2687">
        <v>45</v>
      </c>
      <c r="G691" s="2686">
        <v>0</v>
      </c>
      <c r="H691" s="3184">
        <f>G691/F691</f>
        <v>0</v>
      </c>
    </row>
    <row r="692" spans="1:8" s="1702" customFormat="1" ht="16.5" hidden="1" customHeight="1">
      <c r="A692" s="1756"/>
      <c r="B692" s="1755"/>
      <c r="C692" s="3239" t="s">
        <v>450</v>
      </c>
      <c r="D692" s="3225" t="s">
        <v>960</v>
      </c>
      <c r="E692" s="2687">
        <v>0</v>
      </c>
      <c r="F692" s="2687">
        <v>2051</v>
      </c>
      <c r="G692" s="2686">
        <v>0</v>
      </c>
      <c r="H692" s="3184">
        <f>G692/F692</f>
        <v>0</v>
      </c>
    </row>
    <row r="693" spans="1:8" s="1702" customFormat="1" ht="16.5" hidden="1" customHeight="1">
      <c r="A693" s="1756"/>
      <c r="B693" s="1755"/>
      <c r="C693" s="3239" t="s">
        <v>449</v>
      </c>
      <c r="D693" s="3225" t="s">
        <v>960</v>
      </c>
      <c r="E693" s="2687">
        <v>0</v>
      </c>
      <c r="F693" s="2687">
        <v>362</v>
      </c>
      <c r="G693" s="2686">
        <v>0</v>
      </c>
      <c r="H693" s="3184">
        <f>G693/F693</f>
        <v>0</v>
      </c>
    </row>
    <row r="694" spans="1:8" s="1702" customFormat="1" ht="16.5" hidden="1" customHeight="1">
      <c r="A694" s="1756"/>
      <c r="B694" s="1755"/>
      <c r="C694" s="3239" t="s">
        <v>488</v>
      </c>
      <c r="D694" s="3274" t="s">
        <v>1137</v>
      </c>
      <c r="E694" s="2687">
        <v>0</v>
      </c>
      <c r="F694" s="2687"/>
      <c r="G694" s="2686"/>
      <c r="H694" s="3184" t="e">
        <f>G694/F694</f>
        <v>#DIV/0!</v>
      </c>
    </row>
    <row r="695" spans="1:8" s="1702" customFormat="1" ht="12.75" customHeight="1">
      <c r="A695" s="1756"/>
      <c r="B695" s="1755"/>
      <c r="C695" s="3273"/>
      <c r="D695" s="3272"/>
      <c r="E695" s="2687"/>
      <c r="F695" s="2687"/>
      <c r="G695" s="2686"/>
      <c r="H695" s="3184"/>
    </row>
    <row r="696" spans="1:8" s="1702" customFormat="1" ht="15.75" customHeight="1">
      <c r="A696" s="1756"/>
      <c r="B696" s="1755"/>
      <c r="C696" s="4385" t="s">
        <v>941</v>
      </c>
      <c r="D696" s="4385"/>
      <c r="E696" s="2538">
        <f>SUM(E697)</f>
        <v>12025375</v>
      </c>
      <c r="F696" s="2538">
        <f>SUM(F697)</f>
        <v>456487</v>
      </c>
      <c r="G696" s="1761">
        <f>SUM(G697)</f>
        <v>12226430</v>
      </c>
      <c r="H696" s="3216">
        <f>G696/F696</f>
        <v>26.783741924742653</v>
      </c>
    </row>
    <row r="697" spans="1:8" s="1702" customFormat="1" ht="15.75" customHeight="1">
      <c r="A697" s="1756"/>
      <c r="B697" s="1755"/>
      <c r="C697" s="4522" t="s">
        <v>940</v>
      </c>
      <c r="D697" s="4522"/>
      <c r="E697" s="2687">
        <f>SUM(E698:E704)</f>
        <v>12025375</v>
      </c>
      <c r="F697" s="2687">
        <f>SUM(F698:F704)</f>
        <v>456487</v>
      </c>
      <c r="G697" s="2686">
        <f>SUM(G698:G704)</f>
        <v>12226430</v>
      </c>
      <c r="H697" s="3184">
        <f>G697/F697</f>
        <v>26.783741924742653</v>
      </c>
    </row>
    <row r="698" spans="1:8" s="1702" customFormat="1" ht="15.75" customHeight="1">
      <c r="A698" s="1756"/>
      <c r="B698" s="1755"/>
      <c r="C698" s="3222" t="s">
        <v>546</v>
      </c>
      <c r="D698" s="3225" t="s">
        <v>1023</v>
      </c>
      <c r="E698" s="2687">
        <v>216328</v>
      </c>
      <c r="F698" s="2687">
        <v>0</v>
      </c>
      <c r="G698" s="2686">
        <v>776283</v>
      </c>
      <c r="H698" s="3184"/>
    </row>
    <row r="699" spans="1:8" s="1702" customFormat="1" ht="15" customHeight="1">
      <c r="A699" s="1756"/>
      <c r="B699" s="1755"/>
      <c r="C699" s="3222" t="s">
        <v>506</v>
      </c>
      <c r="D699" s="3225" t="s">
        <v>1023</v>
      </c>
      <c r="E699" s="2687">
        <v>9649676</v>
      </c>
      <c r="F699" s="2687">
        <v>0</v>
      </c>
      <c r="G699" s="2686">
        <v>9647625</v>
      </c>
      <c r="H699" s="3184"/>
    </row>
    <row r="700" spans="1:8" s="1702" customFormat="1" ht="13.5" hidden="1" customHeight="1">
      <c r="A700" s="1756"/>
      <c r="B700" s="1755"/>
      <c r="C700" s="3222" t="s">
        <v>625</v>
      </c>
      <c r="D700" s="3225" t="s">
        <v>1023</v>
      </c>
      <c r="E700" s="2687">
        <v>0</v>
      </c>
      <c r="F700" s="2687"/>
      <c r="G700" s="2686"/>
      <c r="H700" s="3184"/>
    </row>
    <row r="701" spans="1:8" s="1702" customFormat="1" ht="16.5" customHeight="1">
      <c r="A701" s="1756"/>
      <c r="B701" s="1755"/>
      <c r="C701" s="3222" t="s">
        <v>505</v>
      </c>
      <c r="D701" s="3225" t="s">
        <v>1023</v>
      </c>
      <c r="E701" s="2687">
        <v>1702884</v>
      </c>
      <c r="F701" s="2687">
        <v>0</v>
      </c>
      <c r="G701" s="2686">
        <v>1702522</v>
      </c>
      <c r="H701" s="3184"/>
    </row>
    <row r="702" spans="1:8" s="1702" customFormat="1" ht="16.5" customHeight="1">
      <c r="A702" s="1756"/>
      <c r="B702" s="1755"/>
      <c r="C702" s="3186" t="s">
        <v>553</v>
      </c>
      <c r="D702" s="3271" t="s">
        <v>1072</v>
      </c>
      <c r="E702" s="2687">
        <v>250000</v>
      </c>
      <c r="F702" s="2687">
        <v>250000</v>
      </c>
      <c r="G702" s="2686">
        <v>100000</v>
      </c>
      <c r="H702" s="3184">
        <f>G702/F702</f>
        <v>0.4</v>
      </c>
    </row>
    <row r="703" spans="1:8" s="1702" customFormat="1" ht="54" hidden="1" customHeight="1">
      <c r="A703" s="1756"/>
      <c r="B703" s="1755"/>
      <c r="C703" s="3186" t="s">
        <v>566</v>
      </c>
      <c r="D703" s="3270" t="s">
        <v>1136</v>
      </c>
      <c r="E703" s="2687">
        <v>0</v>
      </c>
      <c r="F703" s="2687"/>
      <c r="G703" s="2686"/>
      <c r="H703" s="3184" t="e">
        <f>G703/F703</f>
        <v>#DIV/0!</v>
      </c>
    </row>
    <row r="704" spans="1:8" s="1702" customFormat="1" ht="57" hidden="1" customHeight="1">
      <c r="A704" s="1831"/>
      <c r="B704" s="1755"/>
      <c r="C704" s="3224" t="s">
        <v>123</v>
      </c>
      <c r="D704" s="3269" t="s">
        <v>1026</v>
      </c>
      <c r="E704" s="2687">
        <v>206487</v>
      </c>
      <c r="F704" s="2687">
        <v>206487</v>
      </c>
      <c r="G704" s="2686">
        <v>0</v>
      </c>
      <c r="H704" s="3184">
        <f>G704/F704</f>
        <v>0</v>
      </c>
    </row>
    <row r="705" spans="1:8" s="1702" customFormat="1" ht="43.5" hidden="1" customHeight="1">
      <c r="A705" s="1756"/>
      <c r="B705" s="1755"/>
      <c r="C705" s="2502" t="s">
        <v>939</v>
      </c>
      <c r="D705" s="2501" t="s">
        <v>938</v>
      </c>
      <c r="E705" s="2500">
        <v>0</v>
      </c>
      <c r="F705" s="2687"/>
      <c r="G705" s="2686"/>
      <c r="H705" s="3184" t="e">
        <f>G705/F705</f>
        <v>#DIV/0!</v>
      </c>
    </row>
    <row r="706" spans="1:8" s="1702" customFormat="1" ht="57.75" hidden="1" customHeight="1">
      <c r="A706" s="1756"/>
      <c r="B706" s="1755"/>
      <c r="C706" s="3268" t="s">
        <v>1322</v>
      </c>
      <c r="D706" s="3267" t="s">
        <v>1135</v>
      </c>
      <c r="E706" s="2687">
        <v>0</v>
      </c>
      <c r="F706" s="2687"/>
      <c r="G706" s="2686"/>
      <c r="H706" s="3184" t="e">
        <f>G706/F706</f>
        <v>#DIV/0!</v>
      </c>
    </row>
    <row r="707" spans="1:8" s="1702" customFormat="1" ht="13.5" customHeight="1">
      <c r="A707" s="1756"/>
      <c r="B707" s="1755"/>
      <c r="C707" s="4527"/>
      <c r="D707" s="4528"/>
      <c r="E707" s="3262"/>
      <c r="F707" s="2687"/>
      <c r="G707" s="2686"/>
      <c r="H707" s="3184"/>
    </row>
    <row r="708" spans="1:8" s="1702" customFormat="1" ht="16.5" customHeight="1">
      <c r="A708" s="1756"/>
      <c r="B708" s="1755"/>
      <c r="C708" s="4517" t="s">
        <v>1024</v>
      </c>
      <c r="D708" s="4518"/>
      <c r="E708" s="3266">
        <f>SUM(E709:E714)</f>
        <v>11775375</v>
      </c>
      <c r="F708" s="3266">
        <f>SUM(F709:F714)</f>
        <v>206487</v>
      </c>
      <c r="G708" s="3265">
        <f>SUM(G709:G714)</f>
        <v>11566430</v>
      </c>
      <c r="H708" s="3264">
        <f>G708/F708</f>
        <v>56.015293941022918</v>
      </c>
    </row>
    <row r="709" spans="1:8" s="1702" customFormat="1" ht="15.75" customHeight="1">
      <c r="A709" s="1756"/>
      <c r="B709" s="1755"/>
      <c r="C709" s="3263" t="s">
        <v>546</v>
      </c>
      <c r="D709" s="3225" t="s">
        <v>1023</v>
      </c>
      <c r="E709" s="3262">
        <v>216328</v>
      </c>
      <c r="F709" s="2687">
        <v>0</v>
      </c>
      <c r="G709" s="2686">
        <v>216283</v>
      </c>
      <c r="H709" s="3184"/>
    </row>
    <row r="710" spans="1:8" s="1702" customFormat="1" ht="15.75" customHeight="1">
      <c r="A710" s="1756"/>
      <c r="B710" s="1755"/>
      <c r="C710" s="3263" t="s">
        <v>506</v>
      </c>
      <c r="D710" s="3225" t="s">
        <v>1023</v>
      </c>
      <c r="E710" s="3262">
        <v>9649676</v>
      </c>
      <c r="F710" s="2687">
        <v>0</v>
      </c>
      <c r="G710" s="2686">
        <v>9647625</v>
      </c>
      <c r="H710" s="3184"/>
    </row>
    <row r="711" spans="1:8" s="1702" customFormat="1" ht="15.75" hidden="1" customHeight="1">
      <c r="A711" s="1756"/>
      <c r="B711" s="1755"/>
      <c r="C711" s="3263" t="s">
        <v>625</v>
      </c>
      <c r="D711" s="3225" t="s">
        <v>1023</v>
      </c>
      <c r="E711" s="3262">
        <v>0</v>
      </c>
      <c r="F711" s="2687"/>
      <c r="G711" s="2686"/>
      <c r="H711" s="3184"/>
    </row>
    <row r="712" spans="1:8" s="1702" customFormat="1" ht="15.75" customHeight="1" thickBot="1">
      <c r="A712" s="1847"/>
      <c r="B712" s="2077"/>
      <c r="C712" s="3220" t="s">
        <v>505</v>
      </c>
      <c r="D712" s="3204" t="s">
        <v>1023</v>
      </c>
      <c r="E712" s="3261">
        <v>1702884</v>
      </c>
      <c r="F712" s="2636">
        <v>0</v>
      </c>
      <c r="G712" s="1738">
        <v>1702522</v>
      </c>
      <c r="H712" s="3184"/>
    </row>
    <row r="713" spans="1:8" s="1702" customFormat="1" ht="51.75" hidden="1" customHeight="1">
      <c r="A713" s="1756"/>
      <c r="B713" s="1755"/>
      <c r="C713" s="2488" t="s">
        <v>566</v>
      </c>
      <c r="D713" s="2957" t="s">
        <v>1136</v>
      </c>
      <c r="E713" s="2500">
        <v>0</v>
      </c>
      <c r="F713" s="2500"/>
      <c r="G713" s="1802"/>
      <c r="H713" s="3184" t="e">
        <f t="shared" ref="H713:H726" si="48">G713/F713</f>
        <v>#DIV/0!</v>
      </c>
    </row>
    <row r="714" spans="1:8" s="1702" customFormat="1" ht="54.75" hidden="1" customHeight="1" thickBot="1">
      <c r="A714" s="1847"/>
      <c r="B714" s="2077"/>
      <c r="C714" s="3260" t="s">
        <v>123</v>
      </c>
      <c r="D714" s="3259" t="s">
        <v>1026</v>
      </c>
      <c r="E714" s="1873">
        <v>206487</v>
      </c>
      <c r="F714" s="1873">
        <v>206487</v>
      </c>
      <c r="G714" s="1872">
        <v>0</v>
      </c>
      <c r="H714" s="1871">
        <f t="shared" si="48"/>
        <v>0</v>
      </c>
    </row>
    <row r="715" spans="1:8" ht="53.25" hidden="1" customHeight="1" thickBot="1">
      <c r="A715" s="1836"/>
      <c r="B715" s="2003"/>
      <c r="C715" s="3258" t="s">
        <v>1322</v>
      </c>
      <c r="D715" s="3257" t="s">
        <v>1135</v>
      </c>
      <c r="E715" s="3256">
        <v>0</v>
      </c>
      <c r="F715" s="2526"/>
      <c r="G715" s="1903"/>
      <c r="H715" s="1998" t="e">
        <f t="shared" si="48"/>
        <v>#DIV/0!</v>
      </c>
    </row>
    <row r="716" spans="1:8" ht="16.5" customHeight="1" thickBot="1">
      <c r="A716" s="1844" t="s">
        <v>838</v>
      </c>
      <c r="B716" s="2525"/>
      <c r="C716" s="2524"/>
      <c r="D716" s="2523" t="s">
        <v>1349</v>
      </c>
      <c r="E716" s="2522">
        <f>SUM(E721,E730)</f>
        <v>1536963</v>
      </c>
      <c r="F716" s="2522">
        <f>SUM(F721,F730)</f>
        <v>3853711</v>
      </c>
      <c r="G716" s="2521">
        <f>SUM(G721,G730)</f>
        <v>1346586</v>
      </c>
      <c r="H716" s="1735">
        <f t="shared" si="48"/>
        <v>0.34942578724766854</v>
      </c>
    </row>
    <row r="717" spans="1:8" ht="17.100000000000001" hidden="1" customHeight="1" thickBot="1">
      <c r="A717" s="1891"/>
      <c r="B717" s="1768" t="s">
        <v>1348</v>
      </c>
      <c r="C717" s="1839"/>
      <c r="D717" s="1838" t="s">
        <v>1347</v>
      </c>
      <c r="E717" s="1818">
        <v>0</v>
      </c>
      <c r="F717" s="1818">
        <v>0</v>
      </c>
      <c r="G717" s="1817">
        <v>0</v>
      </c>
      <c r="H717" s="2537" t="e">
        <f t="shared" si="48"/>
        <v>#DIV/0!</v>
      </c>
    </row>
    <row r="718" spans="1:8" ht="17.100000000000001" hidden="1" customHeight="1" thickBot="1">
      <c r="A718" s="1891"/>
      <c r="B718" s="3255"/>
      <c r="C718" s="4296" t="s">
        <v>944</v>
      </c>
      <c r="D718" s="4296"/>
      <c r="E718" s="1895">
        <v>0</v>
      </c>
      <c r="F718" s="1895">
        <v>0</v>
      </c>
      <c r="G718" s="1894">
        <v>0</v>
      </c>
      <c r="H718" s="3216" t="e">
        <f t="shared" si="48"/>
        <v>#DIV/0!</v>
      </c>
    </row>
    <row r="719" spans="1:8" ht="17.100000000000001" hidden="1" customHeight="1" thickBot="1">
      <c r="A719" s="1891"/>
      <c r="B719" s="3254"/>
      <c r="C719" s="4529" t="s">
        <v>943</v>
      </c>
      <c r="D719" s="4529"/>
      <c r="E719" s="3251">
        <v>0</v>
      </c>
      <c r="F719" s="3251">
        <v>0</v>
      </c>
      <c r="G719" s="3250">
        <v>0</v>
      </c>
      <c r="H719" s="3216" t="e">
        <f t="shared" si="48"/>
        <v>#DIV/0!</v>
      </c>
    </row>
    <row r="720" spans="1:8" ht="63" hidden="1" customHeight="1" thickBot="1">
      <c r="A720" s="1891"/>
      <c r="B720" s="3254"/>
      <c r="C720" s="3253" t="s">
        <v>112</v>
      </c>
      <c r="D720" s="3252" t="s">
        <v>1346</v>
      </c>
      <c r="E720" s="3251">
        <v>0</v>
      </c>
      <c r="F720" s="3251">
        <v>0</v>
      </c>
      <c r="G720" s="3250">
        <v>0</v>
      </c>
      <c r="H720" s="3249" t="e">
        <f t="shared" si="48"/>
        <v>#DIV/0!</v>
      </c>
    </row>
    <row r="721" spans="1:10" ht="20.25" customHeight="1" thickBot="1">
      <c r="A721" s="2845"/>
      <c r="B721" s="2844" t="s">
        <v>1345</v>
      </c>
      <c r="C721" s="3248"/>
      <c r="D721" s="3247" t="s">
        <v>163</v>
      </c>
      <c r="E721" s="3246">
        <f>SUM(E722)</f>
        <v>350000</v>
      </c>
      <c r="F721" s="3246">
        <f>SUM(F722)</f>
        <v>350000</v>
      </c>
      <c r="G721" s="3245">
        <f>SUM(G722)</f>
        <v>352000</v>
      </c>
      <c r="H721" s="3244">
        <f t="shared" si="48"/>
        <v>1.0057142857142858</v>
      </c>
    </row>
    <row r="722" spans="1:10" ht="18.75" customHeight="1">
      <c r="A722" s="3242"/>
      <c r="B722" s="4530"/>
      <c r="C722" s="4207" t="s">
        <v>944</v>
      </c>
      <c r="D722" s="4207"/>
      <c r="E722" s="3060">
        <f>SUM(E723,E728)</f>
        <v>350000</v>
      </c>
      <c r="F722" s="3060">
        <f>SUM(F723,F728)</f>
        <v>350000</v>
      </c>
      <c r="G722" s="2094">
        <f>SUM(G723,G728)</f>
        <v>352000</v>
      </c>
      <c r="H722" s="2227">
        <f t="shared" si="48"/>
        <v>1.0057142857142858</v>
      </c>
      <c r="J722" s="1702" t="s">
        <v>1340</v>
      </c>
    </row>
    <row r="723" spans="1:10" ht="18" customHeight="1">
      <c r="A723" s="1891"/>
      <c r="B723" s="4531"/>
      <c r="C723" s="4521" t="s">
        <v>967</v>
      </c>
      <c r="D723" s="4521"/>
      <c r="E723" s="3237">
        <f t="shared" ref="E723:G724" si="49">SUM(E724)</f>
        <v>5000</v>
      </c>
      <c r="F723" s="3237">
        <f t="shared" si="49"/>
        <v>5000</v>
      </c>
      <c r="G723" s="1802">
        <f t="shared" si="49"/>
        <v>7000</v>
      </c>
      <c r="H723" s="3184">
        <f t="shared" si="48"/>
        <v>1.4</v>
      </c>
    </row>
    <row r="724" spans="1:10" ht="20.25" customHeight="1">
      <c r="A724" s="1891"/>
      <c r="B724" s="4531"/>
      <c r="C724" s="4517" t="s">
        <v>961</v>
      </c>
      <c r="D724" s="4517"/>
      <c r="E724" s="2797">
        <f t="shared" si="49"/>
        <v>5000</v>
      </c>
      <c r="F724" s="2797">
        <f t="shared" si="49"/>
        <v>5000</v>
      </c>
      <c r="G724" s="1808">
        <f t="shared" si="49"/>
        <v>7000</v>
      </c>
      <c r="H724" s="3206">
        <f t="shared" si="48"/>
        <v>1.4</v>
      </c>
    </row>
    <row r="725" spans="1:10" ht="18" customHeight="1">
      <c r="A725" s="1891"/>
      <c r="B725" s="4531"/>
      <c r="C725" s="3222" t="s">
        <v>959</v>
      </c>
      <c r="D725" s="3225" t="s">
        <v>958</v>
      </c>
      <c r="E725" s="3237">
        <v>5000</v>
      </c>
      <c r="F725" s="2687">
        <v>5000</v>
      </c>
      <c r="G725" s="2686">
        <v>7000</v>
      </c>
      <c r="H725" s="3184">
        <f t="shared" si="48"/>
        <v>1.4</v>
      </c>
    </row>
    <row r="726" spans="1:10" ht="18" hidden="1" customHeight="1">
      <c r="A726" s="1891"/>
      <c r="B726" s="4531"/>
      <c r="C726" s="2488" t="s">
        <v>1122</v>
      </c>
      <c r="D726" s="3243" t="s">
        <v>1118</v>
      </c>
      <c r="E726" s="3237">
        <v>0</v>
      </c>
      <c r="F726" s="2687"/>
      <c r="G726" s="2686"/>
      <c r="H726" s="3184" t="e">
        <f t="shared" si="48"/>
        <v>#DIV/0!</v>
      </c>
    </row>
    <row r="727" spans="1:10" ht="18" customHeight="1">
      <c r="A727" s="1891"/>
      <c r="B727" s="4531"/>
      <c r="C727" s="4533"/>
      <c r="D727" s="4534"/>
      <c r="E727" s="2687"/>
      <c r="F727" s="2687"/>
      <c r="G727" s="2686"/>
      <c r="H727" s="3184"/>
    </row>
    <row r="728" spans="1:10" ht="18" customHeight="1">
      <c r="A728" s="1891"/>
      <c r="B728" s="4531"/>
      <c r="C728" s="4535" t="s">
        <v>952</v>
      </c>
      <c r="D728" s="4536"/>
      <c r="E728" s="1877">
        <f>SUM(E729)</f>
        <v>345000</v>
      </c>
      <c r="F728" s="1877">
        <f>SUM(F729)</f>
        <v>345000</v>
      </c>
      <c r="G728" s="1876">
        <f>SUM(G729)</f>
        <v>345000</v>
      </c>
      <c r="H728" s="3184">
        <f>G728/F728</f>
        <v>1</v>
      </c>
    </row>
    <row r="729" spans="1:10" ht="20.25" customHeight="1" thickBot="1">
      <c r="A729" s="3242"/>
      <c r="B729" s="4532"/>
      <c r="C729" s="3241" t="s">
        <v>949</v>
      </c>
      <c r="D729" s="3240" t="s">
        <v>948</v>
      </c>
      <c r="E729" s="2834">
        <v>345000</v>
      </c>
      <c r="F729" s="2636">
        <v>345000</v>
      </c>
      <c r="G729" s="1738">
        <v>345000</v>
      </c>
      <c r="H729" s="2617">
        <f>G729/F729</f>
        <v>1</v>
      </c>
    </row>
    <row r="730" spans="1:10" ht="17.100000000000001" customHeight="1" thickBot="1">
      <c r="A730" s="1774"/>
      <c r="B730" s="2112" t="s">
        <v>610</v>
      </c>
      <c r="C730" s="2111"/>
      <c r="D730" s="2110" t="s">
        <v>50</v>
      </c>
      <c r="E730" s="2109">
        <f>SUM(E731,E781)</f>
        <v>1186963</v>
      </c>
      <c r="F730" s="2109">
        <f>SUM(F731,F781)</f>
        <v>3503711</v>
      </c>
      <c r="G730" s="2108">
        <f>SUM(G731,G781)</f>
        <v>994586</v>
      </c>
      <c r="H730" s="2107">
        <f>G730/F730</f>
        <v>0.28386644903075625</v>
      </c>
    </row>
    <row r="731" spans="1:10" ht="17.100000000000001" customHeight="1">
      <c r="A731" s="1836"/>
      <c r="B731" s="4226"/>
      <c r="C731" s="4296" t="s">
        <v>944</v>
      </c>
      <c r="D731" s="4296"/>
      <c r="E731" s="2810">
        <f>SUM(E732,E736,E742)</f>
        <v>1074500</v>
      </c>
      <c r="F731" s="2810">
        <f>SUM(F732,F736,F742)</f>
        <v>1783711</v>
      </c>
      <c r="G731" s="1761">
        <f>SUM(G732,G736,G742)</f>
        <v>994586</v>
      </c>
      <c r="H731" s="2809">
        <f>G731/F731</f>
        <v>0.55759369090620625</v>
      </c>
    </row>
    <row r="732" spans="1:10" ht="17.100000000000001" customHeight="1">
      <c r="A732" s="1836"/>
      <c r="B732" s="4226"/>
      <c r="C732" s="4521" t="s">
        <v>967</v>
      </c>
      <c r="D732" s="4521"/>
      <c r="E732" s="3237">
        <f t="shared" ref="E732:G733" si="50">SUM(E733)</f>
        <v>154500</v>
      </c>
      <c r="F732" s="3237">
        <f t="shared" si="50"/>
        <v>0</v>
      </c>
      <c r="G732" s="1802">
        <f t="shared" si="50"/>
        <v>177675</v>
      </c>
      <c r="H732" s="3184"/>
    </row>
    <row r="733" spans="1:10" ht="17.100000000000001" customHeight="1">
      <c r="A733" s="1836"/>
      <c r="B733" s="4226"/>
      <c r="C733" s="4517" t="s">
        <v>961</v>
      </c>
      <c r="D733" s="4517"/>
      <c r="E733" s="2797">
        <f t="shared" si="50"/>
        <v>154500</v>
      </c>
      <c r="F733" s="2797">
        <f t="shared" si="50"/>
        <v>0</v>
      </c>
      <c r="G733" s="1808">
        <f t="shared" si="50"/>
        <v>177675</v>
      </c>
      <c r="H733" s="3206"/>
    </row>
    <row r="734" spans="1:10" ht="17.100000000000001" customHeight="1">
      <c r="A734" s="1836"/>
      <c r="B734" s="4226"/>
      <c r="C734" s="3222" t="s">
        <v>959</v>
      </c>
      <c r="D734" s="3225" t="s">
        <v>958</v>
      </c>
      <c r="E734" s="3237">
        <v>154500</v>
      </c>
      <c r="F734" s="2687">
        <v>0</v>
      </c>
      <c r="G734" s="2686">
        <v>177675</v>
      </c>
      <c r="H734" s="3184"/>
      <c r="J734" s="1702" t="s">
        <v>1334</v>
      </c>
    </row>
    <row r="735" spans="1:10" ht="17.100000000000001" customHeight="1">
      <c r="A735" s="1836"/>
      <c r="B735" s="4226"/>
      <c r="C735" s="3236"/>
      <c r="D735" s="3236"/>
      <c r="E735" s="2810"/>
      <c r="F735" s="2687"/>
      <c r="G735" s="2686"/>
      <c r="H735" s="3184"/>
    </row>
    <row r="736" spans="1:10" ht="17.100000000000001" customHeight="1">
      <c r="A736" s="1836"/>
      <c r="B736" s="4226"/>
      <c r="C736" s="4522" t="s">
        <v>943</v>
      </c>
      <c r="D736" s="4522"/>
      <c r="E736" s="3237">
        <f>SUM(E738:E739)</f>
        <v>50000</v>
      </c>
      <c r="F736" s="3237">
        <f>SUM(F738:F739)</f>
        <v>204500</v>
      </c>
      <c r="G736" s="1802">
        <f>SUM(G738:G739)</f>
        <v>55000</v>
      </c>
      <c r="H736" s="3184">
        <f>G736/F736</f>
        <v>0.26894865525672373</v>
      </c>
    </row>
    <row r="737" spans="1:10" ht="24" hidden="1" customHeight="1">
      <c r="A737" s="1836"/>
      <c r="B737" s="4226"/>
      <c r="C737" s="3222" t="s">
        <v>1344</v>
      </c>
      <c r="D737" s="2689" t="s">
        <v>1343</v>
      </c>
      <c r="E737" s="3237">
        <v>0</v>
      </c>
      <c r="F737" s="2687"/>
      <c r="G737" s="2686"/>
      <c r="H737" s="3184" t="e">
        <f>G737/F737</f>
        <v>#DIV/0!</v>
      </c>
    </row>
    <row r="738" spans="1:10" ht="28.5" hidden="1" customHeight="1">
      <c r="A738" s="1836"/>
      <c r="B738" s="4226"/>
      <c r="C738" s="3239" t="s">
        <v>1342</v>
      </c>
      <c r="D738" s="2689" t="s">
        <v>1341</v>
      </c>
      <c r="E738" s="3237">
        <v>0</v>
      </c>
      <c r="F738" s="2687">
        <v>154500</v>
      </c>
      <c r="G738" s="2686">
        <v>0</v>
      </c>
      <c r="H738" s="3184">
        <f>G738/F738</f>
        <v>0</v>
      </c>
    </row>
    <row r="739" spans="1:10" ht="55.5" customHeight="1">
      <c r="A739" s="1836"/>
      <c r="B739" s="4226"/>
      <c r="C739" s="3239" t="s">
        <v>112</v>
      </c>
      <c r="D739" s="2689" t="s">
        <v>956</v>
      </c>
      <c r="E739" s="3237">
        <v>50000</v>
      </c>
      <c r="F739" s="2687">
        <v>50000</v>
      </c>
      <c r="G739" s="2686">
        <v>55000</v>
      </c>
      <c r="H739" s="3184">
        <f>G739/F739</f>
        <v>1.1000000000000001</v>
      </c>
      <c r="J739" s="1702" t="s">
        <v>1340</v>
      </c>
    </row>
    <row r="740" spans="1:10" ht="27.75" hidden="1" customHeight="1">
      <c r="A740" s="1836"/>
      <c r="B740" s="4226"/>
      <c r="C740" s="3238" t="s">
        <v>1039</v>
      </c>
      <c r="D740" s="2689" t="s">
        <v>1038</v>
      </c>
      <c r="E740" s="3237">
        <v>0</v>
      </c>
      <c r="F740" s="2687"/>
      <c r="G740" s="2686"/>
      <c r="H740" s="3184" t="e">
        <f>G740/F740</f>
        <v>#DIV/0!</v>
      </c>
    </row>
    <row r="741" spans="1:10" ht="17.100000000000001" customHeight="1">
      <c r="A741" s="1836"/>
      <c r="B741" s="4226"/>
      <c r="C741" s="3236"/>
      <c r="D741" s="3236"/>
      <c r="E741" s="2810"/>
      <c r="F741" s="2687"/>
      <c r="G741" s="2686"/>
      <c r="H741" s="3184"/>
    </row>
    <row r="742" spans="1:10" ht="17.100000000000001" customHeight="1">
      <c r="A742" s="1836"/>
      <c r="B742" s="4226"/>
      <c r="C742" s="4521" t="s">
        <v>976</v>
      </c>
      <c r="D742" s="4521"/>
      <c r="E742" s="2687">
        <f>SUM(E745:E779)</f>
        <v>870000</v>
      </c>
      <c r="F742" s="2687">
        <f>SUM(F745:F779)</f>
        <v>1579211</v>
      </c>
      <c r="G742" s="2686">
        <f>SUM(G745:G779)</f>
        <v>761911</v>
      </c>
      <c r="H742" s="3184">
        <f t="shared" ref="H742:H759" si="51">G742/F742</f>
        <v>0.48246307808139632</v>
      </c>
    </row>
    <row r="743" spans="1:10" ht="53.25" hidden="1" customHeight="1">
      <c r="A743" s="1836"/>
      <c r="B743" s="2003"/>
      <c r="C743" s="3234" t="s">
        <v>157</v>
      </c>
      <c r="D743" s="3235" t="s">
        <v>1127</v>
      </c>
      <c r="E743" s="2687">
        <v>0</v>
      </c>
      <c r="F743" s="2687"/>
      <c r="G743" s="2686"/>
      <c r="H743" s="3184" t="e">
        <f t="shared" si="51"/>
        <v>#DIV/0!</v>
      </c>
    </row>
    <row r="744" spans="1:10" ht="17.25" hidden="1" customHeight="1">
      <c r="A744" s="1836"/>
      <c r="B744" s="2003"/>
      <c r="C744" s="3234" t="s">
        <v>346</v>
      </c>
      <c r="D744" s="3235" t="s">
        <v>1115</v>
      </c>
      <c r="E744" s="2687">
        <v>0</v>
      </c>
      <c r="F744" s="2687"/>
      <c r="G744" s="2686"/>
      <c r="H744" s="3184" t="e">
        <f t="shared" si="51"/>
        <v>#DIV/0!</v>
      </c>
    </row>
    <row r="745" spans="1:10" ht="17.25" hidden="1" customHeight="1">
      <c r="A745" s="1836"/>
      <c r="B745" s="2003"/>
      <c r="C745" s="3234" t="s">
        <v>462</v>
      </c>
      <c r="D745" s="3225" t="s">
        <v>1015</v>
      </c>
      <c r="E745" s="2687">
        <v>38000</v>
      </c>
      <c r="F745" s="2687">
        <v>99790</v>
      </c>
      <c r="G745" s="2686">
        <v>0</v>
      </c>
      <c r="H745" s="3184">
        <f t="shared" si="51"/>
        <v>0</v>
      </c>
    </row>
    <row r="746" spans="1:10" ht="17.100000000000001" hidden="1" customHeight="1">
      <c r="A746" s="1836"/>
      <c r="B746" s="2003"/>
      <c r="C746" s="3229" t="s">
        <v>479</v>
      </c>
      <c r="D746" s="3225" t="s">
        <v>1015</v>
      </c>
      <c r="E746" s="2687">
        <v>14209</v>
      </c>
      <c r="F746" s="2687">
        <v>19182</v>
      </c>
      <c r="G746" s="2686">
        <v>0</v>
      </c>
      <c r="H746" s="3184">
        <f t="shared" si="51"/>
        <v>0</v>
      </c>
    </row>
    <row r="747" spans="1:10" ht="17.100000000000001" hidden="1" customHeight="1">
      <c r="A747" s="1836"/>
      <c r="B747" s="2003"/>
      <c r="C747" s="3229" t="s">
        <v>461</v>
      </c>
      <c r="D747" s="3225" t="s">
        <v>1015</v>
      </c>
      <c r="E747" s="2687">
        <v>2508</v>
      </c>
      <c r="F747" s="2687">
        <v>3386</v>
      </c>
      <c r="G747" s="2686">
        <v>0</v>
      </c>
      <c r="H747" s="3184">
        <f t="shared" si="51"/>
        <v>0</v>
      </c>
    </row>
    <row r="748" spans="1:10" ht="17.100000000000001" hidden="1" customHeight="1">
      <c r="A748" s="1836"/>
      <c r="B748" s="2003"/>
      <c r="C748" s="3229" t="s">
        <v>536</v>
      </c>
      <c r="D748" s="3225" t="s">
        <v>1013</v>
      </c>
      <c r="E748" s="2687">
        <v>0</v>
      </c>
      <c r="F748" s="2687"/>
      <c r="G748" s="2686"/>
      <c r="H748" s="3184" t="e">
        <f t="shared" si="51"/>
        <v>#DIV/0!</v>
      </c>
    </row>
    <row r="749" spans="1:10" ht="17.100000000000001" hidden="1" customHeight="1">
      <c r="A749" s="1836"/>
      <c r="B749" s="2003"/>
      <c r="C749" s="3229" t="s">
        <v>493</v>
      </c>
      <c r="D749" s="3225" t="s">
        <v>1013</v>
      </c>
      <c r="E749" s="2687">
        <v>0</v>
      </c>
      <c r="F749" s="2687"/>
      <c r="G749" s="2686"/>
      <c r="H749" s="3184" t="e">
        <f t="shared" si="51"/>
        <v>#DIV/0!</v>
      </c>
    </row>
    <row r="750" spans="1:10" ht="17.100000000000001" hidden="1" customHeight="1" thickBot="1">
      <c r="A750" s="2195"/>
      <c r="B750" s="2249"/>
      <c r="C750" s="3233" t="s">
        <v>460</v>
      </c>
      <c r="D750" s="3204" t="s">
        <v>964</v>
      </c>
      <c r="E750" s="2636">
        <v>5800</v>
      </c>
      <c r="F750" s="2636">
        <v>15651</v>
      </c>
      <c r="G750" s="1738">
        <v>0</v>
      </c>
      <c r="H750" s="2617">
        <f t="shared" si="51"/>
        <v>0</v>
      </c>
    </row>
    <row r="751" spans="1:10" ht="17.100000000000001" hidden="1" customHeight="1">
      <c r="A751" s="2677"/>
      <c r="B751" s="3232"/>
      <c r="C751" s="3231" t="s">
        <v>478</v>
      </c>
      <c r="D751" s="2793" t="s">
        <v>964</v>
      </c>
      <c r="E751" s="3230">
        <v>2443</v>
      </c>
      <c r="F751" s="3230">
        <v>3298</v>
      </c>
      <c r="G751" s="2141">
        <v>0</v>
      </c>
      <c r="H751" s="2099">
        <f t="shared" si="51"/>
        <v>0</v>
      </c>
    </row>
    <row r="752" spans="1:10" ht="17.100000000000001" hidden="1" customHeight="1">
      <c r="A752" s="1836"/>
      <c r="B752" s="2003"/>
      <c r="C752" s="3229" t="s">
        <v>459</v>
      </c>
      <c r="D752" s="3225" t="s">
        <v>964</v>
      </c>
      <c r="E752" s="2687">
        <v>431</v>
      </c>
      <c r="F752" s="2687">
        <v>582</v>
      </c>
      <c r="G752" s="2686">
        <v>0</v>
      </c>
      <c r="H752" s="3184">
        <f t="shared" si="51"/>
        <v>0</v>
      </c>
    </row>
    <row r="753" spans="1:10" ht="16.5" hidden="1" customHeight="1">
      <c r="A753" s="1836"/>
      <c r="B753" s="2003"/>
      <c r="C753" s="3228" t="s">
        <v>458</v>
      </c>
      <c r="D753" s="3225" t="s">
        <v>962</v>
      </c>
      <c r="E753" s="2687">
        <v>908</v>
      </c>
      <c r="F753" s="2687">
        <v>2230</v>
      </c>
      <c r="G753" s="2686">
        <v>0</v>
      </c>
      <c r="H753" s="3184">
        <f t="shared" si="51"/>
        <v>0</v>
      </c>
    </row>
    <row r="754" spans="1:10" ht="16.5" hidden="1" customHeight="1">
      <c r="A754" s="1822"/>
      <c r="B754" s="2003"/>
      <c r="C754" s="3227" t="s">
        <v>477</v>
      </c>
      <c r="D754" s="3223" t="s">
        <v>962</v>
      </c>
      <c r="E754" s="2687">
        <v>348</v>
      </c>
      <c r="F754" s="2687">
        <v>470</v>
      </c>
      <c r="G754" s="2686">
        <v>0</v>
      </c>
      <c r="H754" s="3184">
        <f t="shared" si="51"/>
        <v>0</v>
      </c>
    </row>
    <row r="755" spans="1:10" ht="16.5" hidden="1" customHeight="1">
      <c r="A755" s="1836"/>
      <c r="B755" s="2003"/>
      <c r="C755" s="3226" t="s">
        <v>457</v>
      </c>
      <c r="D755" s="2501" t="s">
        <v>962</v>
      </c>
      <c r="E755" s="2500">
        <v>61</v>
      </c>
      <c r="F755" s="2500">
        <v>82</v>
      </c>
      <c r="G755" s="1802">
        <v>0</v>
      </c>
      <c r="H755" s="2503">
        <f t="shared" si="51"/>
        <v>0</v>
      </c>
    </row>
    <row r="756" spans="1:10" ht="17.100000000000001" customHeight="1">
      <c r="A756" s="1836"/>
      <c r="B756" s="1822"/>
      <c r="C756" s="3222" t="s">
        <v>456</v>
      </c>
      <c r="D756" s="3225" t="s">
        <v>973</v>
      </c>
      <c r="E756" s="2687">
        <v>50000</v>
      </c>
      <c r="F756" s="2687">
        <v>4500</v>
      </c>
      <c r="G756" s="2686">
        <v>20000</v>
      </c>
      <c r="H756" s="3184">
        <f t="shared" si="51"/>
        <v>4.4444444444444446</v>
      </c>
      <c r="J756" s="1702" t="s">
        <v>1285</v>
      </c>
    </row>
    <row r="757" spans="1:10" ht="17.100000000000001" hidden="1" customHeight="1">
      <c r="A757" s="1836"/>
      <c r="B757" s="1822"/>
      <c r="C757" s="3222" t="s">
        <v>535</v>
      </c>
      <c r="D757" s="3225" t="s">
        <v>973</v>
      </c>
      <c r="E757" s="2687">
        <v>0</v>
      </c>
      <c r="F757" s="2687"/>
      <c r="G757" s="2686"/>
      <c r="H757" s="3184" t="e">
        <f t="shared" si="51"/>
        <v>#DIV/0!</v>
      </c>
    </row>
    <row r="758" spans="1:10" ht="17.100000000000001" hidden="1" customHeight="1">
      <c r="A758" s="1836"/>
      <c r="B758" s="1822"/>
      <c r="C758" s="3222" t="s">
        <v>455</v>
      </c>
      <c r="D758" s="3225" t="s">
        <v>973</v>
      </c>
      <c r="E758" s="2687">
        <v>0</v>
      </c>
      <c r="F758" s="2687"/>
      <c r="G758" s="2686"/>
      <c r="H758" s="3184" t="e">
        <f t="shared" si="51"/>
        <v>#DIV/0!</v>
      </c>
    </row>
    <row r="759" spans="1:10" ht="17.100000000000001" customHeight="1">
      <c r="A759" s="1836"/>
      <c r="B759" s="1822"/>
      <c r="C759" s="3222" t="s">
        <v>450</v>
      </c>
      <c r="D759" s="3225" t="s">
        <v>960</v>
      </c>
      <c r="E759" s="2687">
        <v>100000</v>
      </c>
      <c r="F759" s="2687">
        <v>165500</v>
      </c>
      <c r="G759" s="2686">
        <v>50000</v>
      </c>
      <c r="H759" s="3184">
        <f t="shared" si="51"/>
        <v>0.30211480362537763</v>
      </c>
      <c r="J759" s="1702" t="s">
        <v>1285</v>
      </c>
    </row>
    <row r="760" spans="1:10" ht="17.100000000000001" hidden="1" customHeight="1">
      <c r="A760" s="1836"/>
      <c r="B760" s="1822"/>
      <c r="C760" s="3222" t="s">
        <v>533</v>
      </c>
      <c r="D760" s="3225" t="s">
        <v>960</v>
      </c>
      <c r="E760" s="2687">
        <v>1700</v>
      </c>
      <c r="F760" s="2687">
        <v>0</v>
      </c>
      <c r="G760" s="2686">
        <v>0</v>
      </c>
      <c r="H760" s="3184"/>
    </row>
    <row r="761" spans="1:10" ht="17.100000000000001" hidden="1" customHeight="1">
      <c r="A761" s="1836"/>
      <c r="B761" s="1822"/>
      <c r="C761" s="3222" t="s">
        <v>449</v>
      </c>
      <c r="D761" s="3225" t="s">
        <v>960</v>
      </c>
      <c r="E761" s="2687">
        <v>300</v>
      </c>
      <c r="F761" s="2687">
        <v>0</v>
      </c>
      <c r="G761" s="2686">
        <v>0</v>
      </c>
      <c r="H761" s="3184"/>
    </row>
    <row r="762" spans="1:10" ht="17.100000000000001" customHeight="1">
      <c r="A762" s="1836"/>
      <c r="B762" s="1822"/>
      <c r="C762" s="3222" t="s">
        <v>446</v>
      </c>
      <c r="D762" s="3225" t="s">
        <v>958</v>
      </c>
      <c r="E762" s="2687">
        <v>377652</v>
      </c>
      <c r="F762" s="2687">
        <v>654213</v>
      </c>
      <c r="G762" s="2686">
        <v>423028</v>
      </c>
      <c r="H762" s="3184">
        <f>G762/F762</f>
        <v>0.64662120746606988</v>
      </c>
      <c r="J762" s="1702" t="s">
        <v>1285</v>
      </c>
    </row>
    <row r="763" spans="1:10" ht="17.100000000000001" hidden="1" customHeight="1">
      <c r="A763" s="1836"/>
      <c r="B763" s="1822"/>
      <c r="C763" s="3222" t="s">
        <v>529</v>
      </c>
      <c r="D763" s="3225" t="s">
        <v>958</v>
      </c>
      <c r="E763" s="2687">
        <v>40800</v>
      </c>
      <c r="F763" s="2687">
        <v>42925</v>
      </c>
      <c r="G763" s="2686">
        <v>0</v>
      </c>
      <c r="H763" s="3184">
        <f>G763/F763</f>
        <v>0</v>
      </c>
    </row>
    <row r="764" spans="1:10" ht="17.100000000000001" hidden="1" customHeight="1">
      <c r="A764" s="1836"/>
      <c r="B764" s="1822"/>
      <c r="C764" s="3222" t="s">
        <v>445</v>
      </c>
      <c r="D764" s="3225" t="s">
        <v>958</v>
      </c>
      <c r="E764" s="2687">
        <v>7200</v>
      </c>
      <c r="F764" s="2687">
        <v>7575</v>
      </c>
      <c r="G764" s="2686">
        <v>0</v>
      </c>
      <c r="H764" s="3184">
        <f>G764/F764</f>
        <v>0</v>
      </c>
    </row>
    <row r="765" spans="1:10" ht="16.5" hidden="1" customHeight="1">
      <c r="A765" s="1836"/>
      <c r="B765" s="1822"/>
      <c r="C765" s="3222" t="s">
        <v>570</v>
      </c>
      <c r="D765" s="3225" t="s">
        <v>1119</v>
      </c>
      <c r="E765" s="2687">
        <v>0</v>
      </c>
      <c r="F765" s="2687"/>
      <c r="G765" s="2686"/>
      <c r="H765" s="3184" t="e">
        <f>G765/F765</f>
        <v>#DIV/0!</v>
      </c>
    </row>
    <row r="766" spans="1:10" ht="16.5" hidden="1" customHeight="1">
      <c r="A766" s="1822"/>
      <c r="B766" s="1822"/>
      <c r="C766" s="3224" t="s">
        <v>527</v>
      </c>
      <c r="D766" s="3223" t="s">
        <v>1119</v>
      </c>
      <c r="E766" s="2687">
        <v>1700</v>
      </c>
      <c r="F766" s="2687">
        <v>0</v>
      </c>
      <c r="G766" s="2686">
        <v>0</v>
      </c>
      <c r="H766" s="3184"/>
    </row>
    <row r="767" spans="1:10" ht="16.5" hidden="1" customHeight="1">
      <c r="A767" s="1836"/>
      <c r="B767" s="1822"/>
      <c r="C767" s="2488" t="s">
        <v>526</v>
      </c>
      <c r="D767" s="2504" t="s">
        <v>1119</v>
      </c>
      <c r="E767" s="2500">
        <v>300</v>
      </c>
      <c r="F767" s="2500">
        <v>0</v>
      </c>
      <c r="G767" s="1802">
        <v>0</v>
      </c>
      <c r="H767" s="2503"/>
    </row>
    <row r="768" spans="1:10" ht="16.5" customHeight="1">
      <c r="A768" s="1836"/>
      <c r="B768" s="1822"/>
      <c r="C768" s="2502" t="s">
        <v>492</v>
      </c>
      <c r="D768" s="2501" t="s">
        <v>995</v>
      </c>
      <c r="E768" s="2687">
        <v>100000</v>
      </c>
      <c r="F768" s="2687">
        <v>320000</v>
      </c>
      <c r="G768" s="2686">
        <v>151883</v>
      </c>
      <c r="H768" s="3184">
        <f t="shared" ref="H768:H779" si="52">G768/F768</f>
        <v>0.474634375</v>
      </c>
      <c r="J768" s="1702" t="s">
        <v>1285</v>
      </c>
    </row>
    <row r="769" spans="1:10" ht="16.5" hidden="1" customHeight="1">
      <c r="A769" s="1836"/>
      <c r="B769" s="1822"/>
      <c r="C769" s="3222" t="s">
        <v>591</v>
      </c>
      <c r="D769" s="3225" t="s">
        <v>995</v>
      </c>
      <c r="E769" s="2687">
        <v>0</v>
      </c>
      <c r="F769" s="2687"/>
      <c r="G769" s="2686"/>
      <c r="H769" s="3184" t="e">
        <f t="shared" si="52"/>
        <v>#DIV/0!</v>
      </c>
    </row>
    <row r="770" spans="1:10" ht="16.5" hidden="1" customHeight="1">
      <c r="A770" s="1836"/>
      <c r="B770" s="1822"/>
      <c r="C770" s="3222" t="s">
        <v>491</v>
      </c>
      <c r="D770" s="3225" t="s">
        <v>995</v>
      </c>
      <c r="E770" s="2687">
        <v>0</v>
      </c>
      <c r="F770" s="2687"/>
      <c r="G770" s="2686"/>
      <c r="H770" s="3184" t="e">
        <f t="shared" si="52"/>
        <v>#DIV/0!</v>
      </c>
    </row>
    <row r="771" spans="1:10" ht="18" customHeight="1">
      <c r="A771" s="1822"/>
      <c r="B771" s="1822"/>
      <c r="C771" s="3224" t="s">
        <v>467</v>
      </c>
      <c r="D771" s="3223" t="s">
        <v>991</v>
      </c>
      <c r="E771" s="2687">
        <v>7000</v>
      </c>
      <c r="F771" s="2687">
        <v>7000</v>
      </c>
      <c r="G771" s="2686">
        <v>25000</v>
      </c>
      <c r="H771" s="3184">
        <f t="shared" si="52"/>
        <v>3.5714285714285716</v>
      </c>
      <c r="J771" s="1702" t="s">
        <v>1285</v>
      </c>
    </row>
    <row r="772" spans="1:10" ht="18" hidden="1" customHeight="1">
      <c r="A772" s="1836"/>
      <c r="B772" s="1822"/>
      <c r="C772" s="1865" t="s">
        <v>524</v>
      </c>
      <c r="D772" s="1864" t="s">
        <v>991</v>
      </c>
      <c r="E772" s="2500">
        <v>0</v>
      </c>
      <c r="F772" s="2687"/>
      <c r="G772" s="2686"/>
      <c r="H772" s="3184" t="e">
        <f t="shared" si="52"/>
        <v>#DIV/0!</v>
      </c>
    </row>
    <row r="773" spans="1:10" ht="18" hidden="1" customHeight="1">
      <c r="A773" s="1836"/>
      <c r="B773" s="1822"/>
      <c r="C773" s="3186" t="s">
        <v>466</v>
      </c>
      <c r="D773" s="3221" t="s">
        <v>991</v>
      </c>
      <c r="E773" s="2687">
        <v>0</v>
      </c>
      <c r="F773" s="2687"/>
      <c r="G773" s="2686"/>
      <c r="H773" s="3184" t="e">
        <f t="shared" si="52"/>
        <v>#DIV/0!</v>
      </c>
    </row>
    <row r="774" spans="1:10" ht="17.100000000000001" customHeight="1">
      <c r="A774" s="1836"/>
      <c r="B774" s="1822"/>
      <c r="C774" s="3186" t="s">
        <v>606</v>
      </c>
      <c r="D774" s="3221" t="s">
        <v>989</v>
      </c>
      <c r="E774" s="2687">
        <v>40000</v>
      </c>
      <c r="F774" s="2687">
        <v>150000</v>
      </c>
      <c r="G774" s="2686">
        <v>75000</v>
      </c>
      <c r="H774" s="3184">
        <f t="shared" si="52"/>
        <v>0.5</v>
      </c>
      <c r="J774" s="1702" t="s">
        <v>1285</v>
      </c>
    </row>
    <row r="775" spans="1:10" ht="17.100000000000001" hidden="1" customHeight="1">
      <c r="A775" s="1836"/>
      <c r="B775" s="1822"/>
      <c r="C775" s="3222" t="s">
        <v>575</v>
      </c>
      <c r="D775" s="3221" t="s">
        <v>989</v>
      </c>
      <c r="E775" s="2687">
        <v>40800</v>
      </c>
      <c r="F775" s="2687">
        <v>36125</v>
      </c>
      <c r="G775" s="2686">
        <v>0</v>
      </c>
      <c r="H775" s="3184">
        <f t="shared" si="52"/>
        <v>0</v>
      </c>
    </row>
    <row r="776" spans="1:10" ht="17.100000000000001" hidden="1" customHeight="1">
      <c r="A776" s="1836"/>
      <c r="B776" s="1822"/>
      <c r="C776" s="3222" t="s">
        <v>574</v>
      </c>
      <c r="D776" s="3221" t="s">
        <v>989</v>
      </c>
      <c r="E776" s="2687">
        <v>7200</v>
      </c>
      <c r="F776" s="2687">
        <v>6375</v>
      </c>
      <c r="G776" s="2686">
        <v>0</v>
      </c>
      <c r="H776" s="3184">
        <f t="shared" si="52"/>
        <v>0</v>
      </c>
    </row>
    <row r="777" spans="1:10" ht="52.5" hidden="1" customHeight="1">
      <c r="A777" s="1836"/>
      <c r="B777" s="1822"/>
      <c r="C777" s="3186" t="s">
        <v>488</v>
      </c>
      <c r="D777" s="3221" t="s">
        <v>1137</v>
      </c>
      <c r="E777" s="2687">
        <v>0</v>
      </c>
      <c r="F777" s="2687"/>
      <c r="G777" s="2686"/>
      <c r="H777" s="3184" t="e">
        <f t="shared" si="52"/>
        <v>#DIV/0!</v>
      </c>
    </row>
    <row r="778" spans="1:10" ht="18.75" customHeight="1" thickBot="1">
      <c r="A778" s="2195"/>
      <c r="B778" s="2393"/>
      <c r="C778" s="3220" t="s">
        <v>486</v>
      </c>
      <c r="D778" s="3204" t="s">
        <v>981</v>
      </c>
      <c r="E778" s="2636">
        <v>30000</v>
      </c>
      <c r="F778" s="2636">
        <v>40000</v>
      </c>
      <c r="G778" s="1738">
        <v>17000</v>
      </c>
      <c r="H778" s="3184">
        <f t="shared" si="52"/>
        <v>0.42499999999999999</v>
      </c>
      <c r="J778" s="1702" t="s">
        <v>1285</v>
      </c>
    </row>
    <row r="779" spans="1:10" ht="18.75" hidden="1" customHeight="1">
      <c r="A779" s="1836"/>
      <c r="B779" s="1822"/>
      <c r="C779" s="2488" t="s">
        <v>454</v>
      </c>
      <c r="D779" s="3219" t="s">
        <v>1011</v>
      </c>
      <c r="E779" s="2500">
        <v>640</v>
      </c>
      <c r="F779" s="2500">
        <v>327</v>
      </c>
      <c r="G779" s="1802">
        <v>0</v>
      </c>
      <c r="H779" s="3184">
        <f t="shared" si="52"/>
        <v>0</v>
      </c>
    </row>
    <row r="780" spans="1:10" ht="17.100000000000001" hidden="1" customHeight="1">
      <c r="A780" s="1836"/>
      <c r="B780" s="1822"/>
      <c r="C780" s="4511"/>
      <c r="D780" s="4512"/>
      <c r="E780" s="2682"/>
      <c r="F780" s="2682"/>
      <c r="G780" s="2681"/>
      <c r="H780" s="3117"/>
    </row>
    <row r="781" spans="1:10" ht="17.100000000000001" hidden="1" customHeight="1">
      <c r="A781" s="1836"/>
      <c r="B781" s="1822"/>
      <c r="C781" s="4523" t="s">
        <v>941</v>
      </c>
      <c r="D781" s="4524"/>
      <c r="E781" s="3218">
        <f>SUM(E782)</f>
        <v>112463</v>
      </c>
      <c r="F781" s="3218">
        <f>SUM(F782)</f>
        <v>1720000</v>
      </c>
      <c r="G781" s="3217">
        <f>SUM(G782)</f>
        <v>0</v>
      </c>
      <c r="H781" s="3216">
        <f t="shared" ref="H781:H786" si="53">G781/F781</f>
        <v>0</v>
      </c>
    </row>
    <row r="782" spans="1:10" ht="17.100000000000001" hidden="1" customHeight="1">
      <c r="A782" s="1836"/>
      <c r="B782" s="1822"/>
      <c r="C782" s="4525" t="s">
        <v>940</v>
      </c>
      <c r="D782" s="4526"/>
      <c r="E782" s="2761">
        <f>SUM(E783:E785)</f>
        <v>112463</v>
      </c>
      <c r="F782" s="2761">
        <f>SUM(F783:F785)</f>
        <v>1720000</v>
      </c>
      <c r="G782" s="2980">
        <f>SUM(G783:G785)</f>
        <v>0</v>
      </c>
      <c r="H782" s="3184">
        <f t="shared" si="53"/>
        <v>0</v>
      </c>
    </row>
    <row r="783" spans="1:10" ht="17.100000000000001" hidden="1" customHeight="1">
      <c r="A783" s="1836"/>
      <c r="B783" s="1822"/>
      <c r="C783" s="3215" t="s">
        <v>506</v>
      </c>
      <c r="D783" s="3214" t="s">
        <v>1023</v>
      </c>
      <c r="E783" s="2761">
        <v>112463</v>
      </c>
      <c r="F783" s="2761">
        <v>20000</v>
      </c>
      <c r="G783" s="2980">
        <v>0</v>
      </c>
      <c r="H783" s="3184">
        <f t="shared" si="53"/>
        <v>0</v>
      </c>
    </row>
    <row r="784" spans="1:10" ht="42" hidden="1" customHeight="1">
      <c r="A784" s="1836"/>
      <c r="B784" s="1822"/>
      <c r="C784" s="3210" t="s">
        <v>594</v>
      </c>
      <c r="D784" s="3213" t="s">
        <v>1018</v>
      </c>
      <c r="E784" s="2761">
        <v>0</v>
      </c>
      <c r="F784" s="2687">
        <v>1464000</v>
      </c>
      <c r="G784" s="2686">
        <v>0</v>
      </c>
      <c r="H784" s="3184">
        <f t="shared" si="53"/>
        <v>0</v>
      </c>
    </row>
    <row r="785" spans="1:10" ht="39.75" hidden="1" customHeight="1">
      <c r="A785" s="1836"/>
      <c r="B785" s="1822"/>
      <c r="C785" s="3212" t="s">
        <v>1152</v>
      </c>
      <c r="D785" s="3211" t="s">
        <v>1151</v>
      </c>
      <c r="E785" s="2761">
        <v>0</v>
      </c>
      <c r="F785" s="2687">
        <v>236000</v>
      </c>
      <c r="G785" s="2686">
        <v>0</v>
      </c>
      <c r="H785" s="3184">
        <f t="shared" si="53"/>
        <v>0</v>
      </c>
    </row>
    <row r="786" spans="1:10" ht="30" hidden="1" customHeight="1">
      <c r="A786" s="1836"/>
      <c r="B786" s="1822"/>
      <c r="C786" s="3210" t="s">
        <v>605</v>
      </c>
      <c r="D786" s="3209" t="s">
        <v>1022</v>
      </c>
      <c r="E786" s="2761">
        <v>0</v>
      </c>
      <c r="F786" s="2687"/>
      <c r="G786" s="2686"/>
      <c r="H786" s="3184" t="e">
        <f t="shared" si="53"/>
        <v>#DIV/0!</v>
      </c>
    </row>
    <row r="787" spans="1:10" ht="17.100000000000001" hidden="1" customHeight="1">
      <c r="A787" s="1836"/>
      <c r="B787" s="1822"/>
      <c r="C787" s="3208"/>
      <c r="D787" s="3207"/>
      <c r="E787" s="2825"/>
      <c r="F787" s="2687"/>
      <c r="G787" s="2686"/>
      <c r="H787" s="3206"/>
    </row>
    <row r="788" spans="1:10" ht="18.75" hidden="1" customHeight="1">
      <c r="A788" s="1836"/>
      <c r="B788" s="1822"/>
      <c r="C788" s="4517" t="s">
        <v>1024</v>
      </c>
      <c r="D788" s="4518"/>
      <c r="E788" s="2694">
        <f>SUM(E789:E790)</f>
        <v>112463</v>
      </c>
      <c r="F788" s="2694">
        <f>SUM(F789:F790)</f>
        <v>20000</v>
      </c>
      <c r="G788" s="2715">
        <f>SUM(G789:G790)</f>
        <v>0</v>
      </c>
      <c r="H788" s="3206">
        <f t="shared" ref="H788:H815" si="54">G788/F788</f>
        <v>0</v>
      </c>
    </row>
    <row r="789" spans="1:10" ht="17.100000000000001" hidden="1" customHeight="1" thickBot="1">
      <c r="A789" s="2195"/>
      <c r="B789" s="2393"/>
      <c r="C789" s="3205" t="s">
        <v>506</v>
      </c>
      <c r="D789" s="3204" t="s">
        <v>1023</v>
      </c>
      <c r="E789" s="2636">
        <v>112463</v>
      </c>
      <c r="F789" s="2636">
        <v>20000</v>
      </c>
      <c r="G789" s="1738">
        <v>0</v>
      </c>
      <c r="H789" s="2617">
        <f t="shared" si="54"/>
        <v>0</v>
      </c>
      <c r="J789" s="1702" t="s">
        <v>1285</v>
      </c>
    </row>
    <row r="790" spans="1:10" ht="42" hidden="1" customHeight="1" thickBot="1">
      <c r="A790" s="2195"/>
      <c r="B790" s="2393"/>
      <c r="C790" s="3203"/>
      <c r="D790" s="3202"/>
      <c r="E790" s="2388">
        <v>0</v>
      </c>
      <c r="F790" s="2388"/>
      <c r="G790" s="2387">
        <v>0</v>
      </c>
      <c r="H790" s="3201" t="e">
        <f t="shared" si="54"/>
        <v>#DIV/0!</v>
      </c>
    </row>
    <row r="791" spans="1:10" ht="26.25" hidden="1" customHeight="1" thickBot="1">
      <c r="A791" s="3200"/>
      <c r="B791" s="3199"/>
      <c r="C791" s="3198" t="s">
        <v>605</v>
      </c>
      <c r="D791" s="3197" t="s">
        <v>1022</v>
      </c>
      <c r="E791" s="3196">
        <v>0</v>
      </c>
      <c r="F791" s="3196"/>
      <c r="G791" s="3195"/>
      <c r="H791" s="3194" t="e">
        <f t="shared" si="54"/>
        <v>#DIV/0!</v>
      </c>
    </row>
    <row r="792" spans="1:10" ht="19.5" customHeight="1" thickBot="1">
      <c r="A792" s="1844" t="s">
        <v>483</v>
      </c>
      <c r="B792" s="2525"/>
      <c r="C792" s="2524"/>
      <c r="D792" s="2523" t="s">
        <v>1339</v>
      </c>
      <c r="E792" s="2522">
        <f>SUM(E793,E811,E830,E941,E952,E1040,E1059)</f>
        <v>221272568</v>
      </c>
      <c r="F792" s="2522">
        <f>SUM(F793,F811,F830,F941,F952,F1025,F1040,F1059)</f>
        <v>233512443</v>
      </c>
      <c r="G792" s="2521">
        <f>SUM(G793,G811,G830,G941,G952,G1040,G1059)</f>
        <v>250241602</v>
      </c>
      <c r="H792" s="1840">
        <f t="shared" si="54"/>
        <v>1.0716414028523524</v>
      </c>
    </row>
    <row r="793" spans="1:10" ht="17.100000000000001" customHeight="1" thickBot="1">
      <c r="A793" s="1836"/>
      <c r="B793" s="1971" t="s">
        <v>1338</v>
      </c>
      <c r="C793" s="1970"/>
      <c r="D793" s="1969" t="s">
        <v>178</v>
      </c>
      <c r="E793" s="1968">
        <f t="shared" ref="E793:G795" si="55">SUM(E794)</f>
        <v>1681860</v>
      </c>
      <c r="F793" s="1968">
        <f t="shared" si="55"/>
        <v>1681860</v>
      </c>
      <c r="G793" s="1967">
        <f t="shared" si="55"/>
        <v>2178028</v>
      </c>
      <c r="H793" s="1966">
        <f t="shared" si="54"/>
        <v>1.2950114753903417</v>
      </c>
    </row>
    <row r="794" spans="1:10" ht="17.100000000000001" customHeight="1">
      <c r="A794" s="1836"/>
      <c r="B794" s="4129"/>
      <c r="C794" s="4279" t="s">
        <v>944</v>
      </c>
      <c r="D794" s="4279"/>
      <c r="E794" s="2509">
        <f t="shared" si="55"/>
        <v>1681860</v>
      </c>
      <c r="F794" s="2509">
        <f t="shared" si="55"/>
        <v>1681860</v>
      </c>
      <c r="G794" s="1964">
        <f t="shared" si="55"/>
        <v>2178028</v>
      </c>
      <c r="H794" s="2508">
        <f t="shared" si="54"/>
        <v>1.2950114753903417</v>
      </c>
    </row>
    <row r="795" spans="1:10" ht="17.100000000000001" customHeight="1">
      <c r="A795" s="1836"/>
      <c r="B795" s="4129"/>
      <c r="C795" s="4497" t="s">
        <v>967</v>
      </c>
      <c r="D795" s="4497"/>
      <c r="E795" s="2871">
        <f t="shared" si="55"/>
        <v>1681860</v>
      </c>
      <c r="F795" s="2871">
        <f t="shared" si="55"/>
        <v>1681860</v>
      </c>
      <c r="G795" s="2870">
        <f t="shared" si="55"/>
        <v>2178028</v>
      </c>
      <c r="H795" s="3111">
        <f t="shared" si="54"/>
        <v>1.2950114753903417</v>
      </c>
    </row>
    <row r="796" spans="1:10" ht="17.100000000000001" customHeight="1">
      <c r="A796" s="1836"/>
      <c r="B796" s="4129"/>
      <c r="C796" s="4498" t="s">
        <v>966</v>
      </c>
      <c r="D796" s="4498"/>
      <c r="E796" s="3143">
        <f>SUM(E797:E802)</f>
        <v>1681860</v>
      </c>
      <c r="F796" s="3143">
        <f>SUM(F797:F802)</f>
        <v>1681860</v>
      </c>
      <c r="G796" s="3046">
        <f>SUM(G797:G802)</f>
        <v>2178028</v>
      </c>
      <c r="H796" s="3142">
        <f t="shared" si="54"/>
        <v>1.2950114753903417</v>
      </c>
      <c r="J796" s="1702" t="s">
        <v>1064</v>
      </c>
    </row>
    <row r="797" spans="1:10" ht="17.100000000000001" customHeight="1">
      <c r="A797" s="1836"/>
      <c r="B797" s="4129"/>
      <c r="C797" s="3141" t="s">
        <v>1016</v>
      </c>
      <c r="D797" s="3140" t="s">
        <v>1015</v>
      </c>
      <c r="E797" s="2871">
        <v>1306500</v>
      </c>
      <c r="F797" s="2871">
        <v>1306500</v>
      </c>
      <c r="G797" s="3193">
        <v>1716608</v>
      </c>
      <c r="H797" s="3111">
        <f t="shared" si="54"/>
        <v>1.3138982013011864</v>
      </c>
    </row>
    <row r="798" spans="1:10" ht="17.100000000000001" customHeight="1">
      <c r="A798" s="1836"/>
      <c r="B798" s="4129"/>
      <c r="C798" s="3141" t="s">
        <v>1014</v>
      </c>
      <c r="D798" s="3140" t="s">
        <v>1013</v>
      </c>
      <c r="E798" s="2871">
        <v>90066</v>
      </c>
      <c r="F798" s="2871">
        <v>90066</v>
      </c>
      <c r="G798" s="3193">
        <v>112208</v>
      </c>
      <c r="H798" s="3111">
        <f t="shared" si="54"/>
        <v>1.2458419381342571</v>
      </c>
    </row>
    <row r="799" spans="1:10" ht="17.100000000000001" customHeight="1">
      <c r="A799" s="1836"/>
      <c r="B799" s="1922"/>
      <c r="C799" s="3141" t="s">
        <v>965</v>
      </c>
      <c r="D799" s="3140" t="s">
        <v>964</v>
      </c>
      <c r="E799" s="2871">
        <v>240069</v>
      </c>
      <c r="F799" s="2871">
        <v>240069</v>
      </c>
      <c r="G799" s="3193">
        <v>289048</v>
      </c>
      <c r="H799" s="3111">
        <f t="shared" si="54"/>
        <v>1.2040205107698203</v>
      </c>
    </row>
    <row r="800" spans="1:10" ht="16.5" customHeight="1">
      <c r="A800" s="1836"/>
      <c r="B800" s="1922"/>
      <c r="C800" s="3141" t="s">
        <v>963</v>
      </c>
      <c r="D800" s="3140" t="s">
        <v>962</v>
      </c>
      <c r="E800" s="2871">
        <v>34225</v>
      </c>
      <c r="F800" s="2871">
        <v>34225</v>
      </c>
      <c r="G800" s="3193">
        <v>47059</v>
      </c>
      <c r="H800" s="3111">
        <f t="shared" si="54"/>
        <v>1.3749890430971512</v>
      </c>
    </row>
    <row r="801" spans="1:10" ht="18" customHeight="1">
      <c r="A801" s="1836"/>
      <c r="B801" s="1922"/>
      <c r="C801" s="3141" t="s">
        <v>974</v>
      </c>
      <c r="D801" s="3140" t="s">
        <v>973</v>
      </c>
      <c r="E801" s="2871">
        <v>5000</v>
      </c>
      <c r="F801" s="2871">
        <v>5000</v>
      </c>
      <c r="G801" s="3193">
        <v>5000</v>
      </c>
      <c r="H801" s="3111">
        <f t="shared" si="54"/>
        <v>1</v>
      </c>
    </row>
    <row r="802" spans="1:10" ht="18" customHeight="1" thickBot="1">
      <c r="A802" s="1822"/>
      <c r="B802" s="1912"/>
      <c r="C802" s="3166" t="s">
        <v>1012</v>
      </c>
      <c r="D802" s="3165" t="s">
        <v>1011</v>
      </c>
      <c r="E802" s="2857">
        <v>6000</v>
      </c>
      <c r="F802" s="2857">
        <v>6000</v>
      </c>
      <c r="G802" s="3193">
        <v>8105</v>
      </c>
      <c r="H802" s="2856">
        <f t="shared" si="54"/>
        <v>1.3508333333333333</v>
      </c>
    </row>
    <row r="803" spans="1:10" ht="17.100000000000001" hidden="1" customHeight="1" thickBot="1">
      <c r="A803" s="1836"/>
      <c r="B803" s="1822"/>
      <c r="C803" s="2163"/>
      <c r="D803" s="2163"/>
      <c r="E803" s="2162"/>
      <c r="F803" s="2526"/>
      <c r="G803" s="1903"/>
      <c r="H803" s="2545" t="e">
        <f t="shared" si="54"/>
        <v>#DIV/0!</v>
      </c>
    </row>
    <row r="804" spans="1:10" ht="17.100000000000001" hidden="1" customHeight="1" thickBot="1">
      <c r="A804" s="1836"/>
      <c r="B804" s="1822"/>
      <c r="C804" s="4519" t="s">
        <v>961</v>
      </c>
      <c r="D804" s="4519"/>
      <c r="E804" s="2721">
        <v>0</v>
      </c>
      <c r="F804" s="2682"/>
      <c r="G804" s="2681"/>
      <c r="H804" s="3117" t="e">
        <f t="shared" si="54"/>
        <v>#DIV/0!</v>
      </c>
    </row>
    <row r="805" spans="1:10" ht="17.100000000000001" hidden="1" customHeight="1" thickBot="1">
      <c r="A805" s="1836"/>
      <c r="B805" s="1822"/>
      <c r="C805" s="3173" t="s">
        <v>1048</v>
      </c>
      <c r="D805" s="3172" t="s">
        <v>1047</v>
      </c>
      <c r="E805" s="2682">
        <v>0</v>
      </c>
      <c r="F805" s="2682"/>
      <c r="G805" s="2681"/>
      <c r="H805" s="3117" t="e">
        <f t="shared" si="54"/>
        <v>#DIV/0!</v>
      </c>
    </row>
    <row r="806" spans="1:10" ht="17.100000000000001" hidden="1" customHeight="1" thickBot="1">
      <c r="A806" s="1836"/>
      <c r="B806" s="1822"/>
      <c r="C806" s="2002" t="s">
        <v>986</v>
      </c>
      <c r="D806" s="2001" t="s">
        <v>985</v>
      </c>
      <c r="E806" s="2682">
        <v>0</v>
      </c>
      <c r="F806" s="2682"/>
      <c r="G806" s="2681"/>
      <c r="H806" s="3117" t="e">
        <f t="shared" si="54"/>
        <v>#DIV/0!</v>
      </c>
    </row>
    <row r="807" spans="1:10" ht="17.100000000000001" hidden="1" customHeight="1" thickBot="1">
      <c r="A807" s="1836"/>
      <c r="B807" s="1822"/>
      <c r="C807" s="3173"/>
      <c r="D807" s="3172"/>
      <c r="E807" s="2682"/>
      <c r="F807" s="2682"/>
      <c r="G807" s="2681"/>
      <c r="H807" s="3117" t="e">
        <f t="shared" si="54"/>
        <v>#DIV/0!</v>
      </c>
    </row>
    <row r="808" spans="1:10" ht="17.100000000000001" hidden="1" customHeight="1" thickBot="1">
      <c r="A808" s="1836"/>
      <c r="B808" s="1822"/>
      <c r="C808" s="4520" t="s">
        <v>943</v>
      </c>
      <c r="D808" s="4520"/>
      <c r="E808" s="2682">
        <v>0</v>
      </c>
      <c r="F808" s="2682"/>
      <c r="G808" s="2681"/>
      <c r="H808" s="3117" t="e">
        <f t="shared" si="54"/>
        <v>#DIV/0!</v>
      </c>
    </row>
    <row r="809" spans="1:10" ht="32.25" hidden="1" customHeight="1" thickBot="1">
      <c r="A809" s="1836"/>
      <c r="B809" s="1822"/>
      <c r="C809" s="3173" t="s">
        <v>91</v>
      </c>
      <c r="D809" s="3172" t="s">
        <v>942</v>
      </c>
      <c r="E809" s="2682">
        <v>0</v>
      </c>
      <c r="F809" s="2682"/>
      <c r="G809" s="2681"/>
      <c r="H809" s="3117" t="e">
        <f t="shared" si="54"/>
        <v>#DIV/0!</v>
      </c>
    </row>
    <row r="810" spans="1:10" ht="17.100000000000001" hidden="1" customHeight="1" thickBot="1">
      <c r="A810" s="1836"/>
      <c r="B810" s="1822"/>
      <c r="C810" s="3173"/>
      <c r="D810" s="3172"/>
      <c r="E810" s="2682"/>
      <c r="F810" s="2682"/>
      <c r="G810" s="2681"/>
      <c r="H810" s="3148" t="e">
        <f t="shared" si="54"/>
        <v>#DIV/0!</v>
      </c>
    </row>
    <row r="811" spans="1:10" ht="17.100000000000001" customHeight="1" thickBot="1">
      <c r="A811" s="1822"/>
      <c r="B811" s="1971" t="s">
        <v>1337</v>
      </c>
      <c r="C811" s="1970"/>
      <c r="D811" s="1969" t="s">
        <v>1336</v>
      </c>
      <c r="E811" s="1968">
        <f>SUM(E812)</f>
        <v>1369227</v>
      </c>
      <c r="F811" s="1968">
        <f>SUM(F812)</f>
        <v>1352227</v>
      </c>
      <c r="G811" s="1967">
        <f>SUM(G812)</f>
        <v>1603534</v>
      </c>
      <c r="H811" s="1966">
        <f t="shared" si="54"/>
        <v>1.1858467550196823</v>
      </c>
    </row>
    <row r="812" spans="1:10" ht="17.100000000000001" customHeight="1">
      <c r="A812" s="1836"/>
      <c r="B812" s="1922"/>
      <c r="C812" s="4279" t="s">
        <v>944</v>
      </c>
      <c r="D812" s="4279"/>
      <c r="E812" s="2509">
        <f>SUM(E813,E824)</f>
        <v>1369227</v>
      </c>
      <c r="F812" s="2509">
        <f>SUM(F813,F824)</f>
        <v>1352227</v>
      </c>
      <c r="G812" s="1964">
        <f>SUM(G813,G824)</f>
        <v>1603534</v>
      </c>
      <c r="H812" s="2508">
        <f t="shared" si="54"/>
        <v>1.1858467550196823</v>
      </c>
    </row>
    <row r="813" spans="1:10" ht="17.100000000000001" customHeight="1">
      <c r="A813" s="1836"/>
      <c r="B813" s="1922"/>
      <c r="C813" s="4497" t="s">
        <v>967</v>
      </c>
      <c r="D813" s="4497"/>
      <c r="E813" s="2871">
        <f>SUM(E814,E817)</f>
        <v>168987</v>
      </c>
      <c r="F813" s="2871">
        <f>SUM(F814,F817)</f>
        <v>151987</v>
      </c>
      <c r="G813" s="2870">
        <f>SUM(G814,G817)</f>
        <v>200258</v>
      </c>
      <c r="H813" s="3111">
        <f t="shared" si="54"/>
        <v>1.3175995315388815</v>
      </c>
    </row>
    <row r="814" spans="1:10" ht="17.100000000000001" customHeight="1">
      <c r="A814" s="1836"/>
      <c r="B814" s="1922"/>
      <c r="C814" s="4498" t="s">
        <v>966</v>
      </c>
      <c r="D814" s="4498"/>
      <c r="E814" s="3143">
        <f>SUM(E815)</f>
        <v>2100</v>
      </c>
      <c r="F814" s="3143">
        <f>SUM(F815)</f>
        <v>2100</v>
      </c>
      <c r="G814" s="3046">
        <f>SUM(G815)</f>
        <v>2415</v>
      </c>
      <c r="H814" s="3142">
        <f t="shared" si="54"/>
        <v>1.1499999999999999</v>
      </c>
    </row>
    <row r="815" spans="1:10" ht="17.100000000000001" customHeight="1">
      <c r="A815" s="1836"/>
      <c r="B815" s="1922"/>
      <c r="C815" s="3141" t="s">
        <v>974</v>
      </c>
      <c r="D815" s="3140" t="s">
        <v>973</v>
      </c>
      <c r="E815" s="2871">
        <v>2100</v>
      </c>
      <c r="F815" s="2871">
        <v>2100</v>
      </c>
      <c r="G815" s="2870">
        <v>2415</v>
      </c>
      <c r="H815" s="3111">
        <f t="shared" si="54"/>
        <v>1.1499999999999999</v>
      </c>
      <c r="J815" s="1702" t="s">
        <v>1334</v>
      </c>
    </row>
    <row r="816" spans="1:10" ht="17.100000000000001" customHeight="1">
      <c r="A816" s="1836"/>
      <c r="B816" s="1922"/>
      <c r="C816" s="1996"/>
      <c r="D816" s="1996"/>
      <c r="E816" s="1995"/>
      <c r="F816" s="2871"/>
      <c r="G816" s="2870"/>
      <c r="H816" s="3111"/>
    </row>
    <row r="817" spans="1:10" ht="17.100000000000001" customHeight="1">
      <c r="A817" s="1836"/>
      <c r="B817" s="1922"/>
      <c r="C817" s="4510" t="s">
        <v>961</v>
      </c>
      <c r="D817" s="4510"/>
      <c r="E817" s="3143">
        <f>SUM(E818:E822)</f>
        <v>166887</v>
      </c>
      <c r="F817" s="3143">
        <f>SUM(F818:F822)</f>
        <v>149887</v>
      </c>
      <c r="G817" s="3046">
        <f>SUM(G818:G822)</f>
        <v>197843</v>
      </c>
      <c r="H817" s="3142">
        <f t="shared" ref="H817:H822" si="56">G817/F817</f>
        <v>1.3199476939294268</v>
      </c>
      <c r="J817" s="1702" t="s">
        <v>1334</v>
      </c>
    </row>
    <row r="818" spans="1:10" ht="17.100000000000001" customHeight="1">
      <c r="A818" s="1836"/>
      <c r="B818" s="1922"/>
      <c r="C818" s="3141" t="s">
        <v>613</v>
      </c>
      <c r="D818" s="3140" t="s">
        <v>960</v>
      </c>
      <c r="E818" s="2871">
        <v>48746</v>
      </c>
      <c r="F818" s="2871">
        <v>33746</v>
      </c>
      <c r="G818" s="3193">
        <v>56058</v>
      </c>
      <c r="H818" s="3111">
        <f t="shared" si="56"/>
        <v>1.6611746577372133</v>
      </c>
    </row>
    <row r="819" spans="1:10" ht="17.100000000000001" customHeight="1">
      <c r="A819" s="1836"/>
      <c r="B819" s="1922"/>
      <c r="C819" s="3141" t="s">
        <v>1008</v>
      </c>
      <c r="D819" s="3140" t="s">
        <v>1007</v>
      </c>
      <c r="E819" s="2871">
        <v>12566</v>
      </c>
      <c r="F819" s="2871">
        <v>12566</v>
      </c>
      <c r="G819" s="3193">
        <v>14451</v>
      </c>
      <c r="H819" s="3111">
        <f t="shared" si="56"/>
        <v>1.1500079579818558</v>
      </c>
    </row>
    <row r="820" spans="1:10" ht="17.100000000000001" customHeight="1">
      <c r="A820" s="1836"/>
      <c r="B820" s="1922"/>
      <c r="C820" s="3130" t="s">
        <v>1002</v>
      </c>
      <c r="D820" s="3140" t="s">
        <v>1001</v>
      </c>
      <c r="E820" s="2871">
        <v>4120</v>
      </c>
      <c r="F820" s="2871">
        <v>2120</v>
      </c>
      <c r="G820" s="3193">
        <v>4738</v>
      </c>
      <c r="H820" s="3111">
        <f t="shared" si="56"/>
        <v>2.2349056603773585</v>
      </c>
    </row>
    <row r="821" spans="1:10" ht="17.100000000000001" customHeight="1">
      <c r="A821" s="1836"/>
      <c r="B821" s="1922"/>
      <c r="C821" s="3141" t="s">
        <v>959</v>
      </c>
      <c r="D821" s="3140" t="s">
        <v>958</v>
      </c>
      <c r="E821" s="2871">
        <v>96202</v>
      </c>
      <c r="F821" s="2871">
        <v>96202</v>
      </c>
      <c r="G821" s="3193">
        <v>116555</v>
      </c>
      <c r="H821" s="3111">
        <f t="shared" si="56"/>
        <v>1.2115652481237396</v>
      </c>
    </row>
    <row r="822" spans="1:10" ht="17.100000000000001" customHeight="1">
      <c r="A822" s="1836"/>
      <c r="B822" s="1922"/>
      <c r="C822" s="3141" t="s">
        <v>998</v>
      </c>
      <c r="D822" s="3140" t="s">
        <v>997</v>
      </c>
      <c r="E822" s="2871">
        <v>5253</v>
      </c>
      <c r="F822" s="2871">
        <v>5253</v>
      </c>
      <c r="G822" s="3193">
        <v>6041</v>
      </c>
      <c r="H822" s="3111">
        <f t="shared" si="56"/>
        <v>1.1500095183704551</v>
      </c>
    </row>
    <row r="823" spans="1:10" ht="17.100000000000001" customHeight="1">
      <c r="A823" s="1836"/>
      <c r="B823" s="1922"/>
      <c r="C823" s="3138"/>
      <c r="D823" s="3147"/>
      <c r="E823" s="3138"/>
      <c r="F823" s="2871"/>
      <c r="G823" s="2870"/>
      <c r="H823" s="3111"/>
    </row>
    <row r="824" spans="1:10" ht="17.100000000000001" customHeight="1">
      <c r="A824" s="1836"/>
      <c r="B824" s="1922"/>
      <c r="C824" s="4273" t="s">
        <v>952</v>
      </c>
      <c r="D824" s="4273"/>
      <c r="E824" s="2496">
        <f>SUM(E825)</f>
        <v>1200240</v>
      </c>
      <c r="F824" s="2496">
        <f>SUM(F825)</f>
        <v>1200240</v>
      </c>
      <c r="G824" s="1929">
        <f>SUM(G825)</f>
        <v>1403276</v>
      </c>
      <c r="H824" s="3111">
        <f t="shared" ref="H824:H839" si="57">G824/F824</f>
        <v>1.1691628340998468</v>
      </c>
    </row>
    <row r="825" spans="1:10" ht="17.100000000000001" customHeight="1" thickBot="1">
      <c r="A825" s="1836"/>
      <c r="B825" s="1922"/>
      <c r="C825" s="3146" t="s">
        <v>978</v>
      </c>
      <c r="D825" s="3145" t="s">
        <v>1335</v>
      </c>
      <c r="E825" s="3108">
        <v>1200240</v>
      </c>
      <c r="F825" s="2871">
        <v>1200240</v>
      </c>
      <c r="G825" s="2870">
        <v>1403276</v>
      </c>
      <c r="H825" s="3111">
        <f t="shared" si="57"/>
        <v>1.1691628340998468</v>
      </c>
      <c r="J825" s="1702" t="s">
        <v>1334</v>
      </c>
    </row>
    <row r="826" spans="1:10" ht="17.100000000000001" hidden="1" customHeight="1" thickBot="1">
      <c r="A826" s="1836"/>
      <c r="B826" s="1822"/>
      <c r="C826" s="4511"/>
      <c r="D826" s="4512"/>
      <c r="E826" s="3192"/>
      <c r="F826" s="2682"/>
      <c r="G826" s="2681"/>
      <c r="H826" s="3117" t="e">
        <f t="shared" si="57"/>
        <v>#DIV/0!</v>
      </c>
    </row>
    <row r="827" spans="1:10" ht="17.100000000000001" hidden="1" customHeight="1" thickBot="1">
      <c r="A827" s="1836"/>
      <c r="B827" s="1822"/>
      <c r="C827" s="4513" t="s">
        <v>941</v>
      </c>
      <c r="D827" s="4514"/>
      <c r="E827" s="2829">
        <v>0</v>
      </c>
      <c r="F827" s="2682"/>
      <c r="G827" s="2681"/>
      <c r="H827" s="3117" t="e">
        <f t="shared" si="57"/>
        <v>#DIV/0!</v>
      </c>
    </row>
    <row r="828" spans="1:10" ht="17.100000000000001" hidden="1" customHeight="1" thickBot="1">
      <c r="A828" s="1836"/>
      <c r="B828" s="1822"/>
      <c r="C828" s="4515" t="s">
        <v>940</v>
      </c>
      <c r="D828" s="4516"/>
      <c r="E828" s="2758">
        <v>0</v>
      </c>
      <c r="F828" s="2682"/>
      <c r="G828" s="2681"/>
      <c r="H828" s="3117" t="e">
        <f t="shared" si="57"/>
        <v>#DIV/0!</v>
      </c>
    </row>
    <row r="829" spans="1:10" ht="17.100000000000001" hidden="1" customHeight="1" thickBot="1">
      <c r="A829" s="1836"/>
      <c r="B829" s="1822"/>
      <c r="C829" s="3191" t="s">
        <v>553</v>
      </c>
      <c r="D829" s="3190" t="s">
        <v>1072</v>
      </c>
      <c r="E829" s="3189">
        <v>0</v>
      </c>
      <c r="F829" s="2682"/>
      <c r="G829" s="2681"/>
      <c r="H829" s="3148" t="e">
        <f t="shared" si="57"/>
        <v>#DIV/0!</v>
      </c>
    </row>
    <row r="830" spans="1:10" ht="17.100000000000001" customHeight="1" thickBot="1">
      <c r="A830" s="1836"/>
      <c r="B830" s="1971" t="s">
        <v>571</v>
      </c>
      <c r="C830" s="1970"/>
      <c r="D830" s="1969" t="s">
        <v>180</v>
      </c>
      <c r="E830" s="1968">
        <f>SUM(E831,E916)</f>
        <v>155024490</v>
      </c>
      <c r="F830" s="1968">
        <f>SUM(F831,F916)</f>
        <v>160233807</v>
      </c>
      <c r="G830" s="1967">
        <f>SUM(G831,G916)</f>
        <v>193145136</v>
      </c>
      <c r="H830" s="1966">
        <f t="shared" si="57"/>
        <v>1.2053956628515978</v>
      </c>
    </row>
    <row r="831" spans="1:10" ht="17.100000000000001" customHeight="1">
      <c r="A831" s="1836"/>
      <c r="B831" s="1922"/>
      <c r="C831" s="4298" t="s">
        <v>541</v>
      </c>
      <c r="D831" s="4298"/>
      <c r="E831" s="2509">
        <f>SUM(E832,E866,E870)</f>
        <v>150691538</v>
      </c>
      <c r="F831" s="2509">
        <f>SUM(F832,F866,F870)</f>
        <v>153306917</v>
      </c>
      <c r="G831" s="1964">
        <f>SUM(G832,G866,G870)</f>
        <v>188038536</v>
      </c>
      <c r="H831" s="2508">
        <f t="shared" si="57"/>
        <v>1.226549588757303</v>
      </c>
    </row>
    <row r="832" spans="1:10" ht="17.100000000000001" customHeight="1">
      <c r="A832" s="1836"/>
      <c r="B832" s="1822"/>
      <c r="C832" s="4497" t="s">
        <v>967</v>
      </c>
      <c r="D832" s="4497"/>
      <c r="E832" s="2496">
        <f>SUM(E833,E841)</f>
        <v>106951428</v>
      </c>
      <c r="F832" s="2496">
        <f>SUM(F833,F841)</f>
        <v>108066744</v>
      </c>
      <c r="G832" s="1929">
        <f>SUM(G833,G841)</f>
        <v>136558303</v>
      </c>
      <c r="H832" s="3111">
        <f t="shared" si="57"/>
        <v>1.2636477971428473</v>
      </c>
    </row>
    <row r="833" spans="1:10" ht="17.100000000000001" customHeight="1">
      <c r="A833" s="1836"/>
      <c r="B833" s="1822"/>
      <c r="C833" s="4498" t="s">
        <v>966</v>
      </c>
      <c r="D833" s="4498"/>
      <c r="E833" s="3137">
        <f>SUM(E834:E839)</f>
        <v>86335332</v>
      </c>
      <c r="F833" s="3137">
        <f>SUM(F834:F839)</f>
        <v>86700542</v>
      </c>
      <c r="G833" s="3136">
        <f>SUM(G834:G839)</f>
        <v>110472291</v>
      </c>
      <c r="H833" s="3142">
        <f t="shared" si="57"/>
        <v>1.2741822421363871</v>
      </c>
      <c r="J833" s="1702" t="s">
        <v>1323</v>
      </c>
    </row>
    <row r="834" spans="1:10" ht="17.100000000000001" customHeight="1">
      <c r="A834" s="1836"/>
      <c r="B834" s="1822"/>
      <c r="C834" s="3141" t="s">
        <v>1016</v>
      </c>
      <c r="D834" s="3140" t="s">
        <v>1015</v>
      </c>
      <c r="E834" s="2871">
        <v>67465108</v>
      </c>
      <c r="F834" s="2871">
        <v>67716568</v>
      </c>
      <c r="G834" s="3188">
        <f>66383575+503680+19735785</f>
        <v>86623040</v>
      </c>
      <c r="H834" s="3111">
        <f t="shared" si="57"/>
        <v>1.2792000917707467</v>
      </c>
    </row>
    <row r="835" spans="1:10" ht="17.100000000000001" customHeight="1">
      <c r="A835" s="1836"/>
      <c r="B835" s="1822"/>
      <c r="C835" s="3174" t="s">
        <v>1014</v>
      </c>
      <c r="D835" s="3140" t="s">
        <v>1013</v>
      </c>
      <c r="E835" s="2871">
        <v>4403328</v>
      </c>
      <c r="F835" s="2871">
        <v>4377078</v>
      </c>
      <c r="G835" s="3188">
        <f>4605016+50570+1386077</f>
        <v>6041663</v>
      </c>
      <c r="H835" s="3111">
        <f t="shared" si="57"/>
        <v>1.3802959417218519</v>
      </c>
    </row>
    <row r="836" spans="1:10" ht="17.100000000000001" customHeight="1">
      <c r="A836" s="1836"/>
      <c r="B836" s="1822"/>
      <c r="C836" s="3174" t="s">
        <v>965</v>
      </c>
      <c r="D836" s="3140" t="s">
        <v>964</v>
      </c>
      <c r="E836" s="2871">
        <v>12332906</v>
      </c>
      <c r="F836" s="2871">
        <v>12332906</v>
      </c>
      <c r="G836" s="3188">
        <f>11439833+94340+3522956</f>
        <v>15057129</v>
      </c>
      <c r="H836" s="3111">
        <f t="shared" si="57"/>
        <v>1.2208905995067181</v>
      </c>
    </row>
    <row r="837" spans="1:10" ht="16.5" customHeight="1">
      <c r="A837" s="1836"/>
      <c r="B837" s="1822"/>
      <c r="C837" s="3154" t="s">
        <v>963</v>
      </c>
      <c r="D837" s="3153" t="s">
        <v>962</v>
      </c>
      <c r="E837" s="2871">
        <v>1746129</v>
      </c>
      <c r="F837" s="2871">
        <v>1746129</v>
      </c>
      <c r="G837" s="3188">
        <f>1915784+6728+497765</f>
        <v>2420277</v>
      </c>
      <c r="H837" s="3111">
        <f t="shared" si="57"/>
        <v>1.3860814407182975</v>
      </c>
    </row>
    <row r="838" spans="1:10" ht="17.100000000000001" customHeight="1">
      <c r="A838" s="1822"/>
      <c r="B838" s="1822"/>
      <c r="C838" s="2499" t="s">
        <v>974</v>
      </c>
      <c r="D838" s="2498" t="s">
        <v>973</v>
      </c>
      <c r="E838" s="2496">
        <v>87745</v>
      </c>
      <c r="F838" s="2496">
        <v>227745</v>
      </c>
      <c r="G838" s="3188">
        <f>51000+20000+20000</f>
        <v>91000</v>
      </c>
      <c r="H838" s="2497">
        <f t="shared" si="57"/>
        <v>0.39956969417550331</v>
      </c>
    </row>
    <row r="839" spans="1:10" ht="17.100000000000001" customHeight="1">
      <c r="A839" s="1836"/>
      <c r="B839" s="1822"/>
      <c r="C839" s="3174" t="s">
        <v>1012</v>
      </c>
      <c r="D839" s="3140" t="s">
        <v>1011</v>
      </c>
      <c r="E839" s="2871">
        <v>300116</v>
      </c>
      <c r="F839" s="2871">
        <v>300116</v>
      </c>
      <c r="G839" s="3188">
        <f>150000+11070+78112</f>
        <v>239182</v>
      </c>
      <c r="H839" s="3111">
        <f t="shared" si="57"/>
        <v>0.79696517346625972</v>
      </c>
    </row>
    <row r="840" spans="1:10" ht="15.75" customHeight="1" thickBot="1">
      <c r="A840" s="1822"/>
      <c r="B840" s="1822"/>
      <c r="C840" s="2634"/>
      <c r="D840" s="2820"/>
      <c r="E840" s="2634"/>
      <c r="F840" s="2682"/>
      <c r="G840" s="2681"/>
      <c r="H840" s="2651"/>
    </row>
    <row r="841" spans="1:10" ht="17.100000000000001" customHeight="1">
      <c r="A841" s="1822"/>
      <c r="B841" s="1822"/>
      <c r="C841" s="4501" t="s">
        <v>961</v>
      </c>
      <c r="D841" s="4502"/>
      <c r="E841" s="3137">
        <f>SUM(E842:E864)</f>
        <v>20616096</v>
      </c>
      <c r="F841" s="3137">
        <f>SUM(F842:F864)</f>
        <v>21366202</v>
      </c>
      <c r="G841" s="3136">
        <f>SUM(G842:G864)</f>
        <v>26086012</v>
      </c>
      <c r="H841" s="3187">
        <f t="shared" ref="H841:H864" si="58">G841/F841</f>
        <v>1.2209007478259355</v>
      </c>
    </row>
    <row r="842" spans="1:10" ht="17.100000000000001" customHeight="1">
      <c r="A842" s="1836"/>
      <c r="B842" s="1822"/>
      <c r="C842" s="3181" t="s">
        <v>1048</v>
      </c>
      <c r="D842" s="3140" t="s">
        <v>1047</v>
      </c>
      <c r="E842" s="2496">
        <v>684900</v>
      </c>
      <c r="F842" s="2871">
        <v>667400</v>
      </c>
      <c r="G842" s="2870">
        <f>504900+240000</f>
        <v>744900</v>
      </c>
      <c r="H842" s="3111">
        <f t="shared" si="58"/>
        <v>1.1161222655079412</v>
      </c>
      <c r="J842" s="1702" t="s">
        <v>1324</v>
      </c>
    </row>
    <row r="843" spans="1:10" s="1906" customFormat="1" ht="17.100000000000001" customHeight="1">
      <c r="A843" s="1923"/>
      <c r="B843" s="1922"/>
      <c r="C843" s="3141" t="s">
        <v>613</v>
      </c>
      <c r="D843" s="3140" t="s">
        <v>960</v>
      </c>
      <c r="E843" s="2496">
        <v>5593613</v>
      </c>
      <c r="F843" s="2871">
        <v>4797113</v>
      </c>
      <c r="G843" s="2870">
        <f>65000+4622000+64740+921500</f>
        <v>5673240</v>
      </c>
      <c r="H843" s="3111">
        <f t="shared" si="58"/>
        <v>1.1826363064618239</v>
      </c>
      <c r="J843" s="1702" t="s">
        <v>1333</v>
      </c>
    </row>
    <row r="844" spans="1:10" s="1906" customFormat="1" ht="17.100000000000001" customHeight="1">
      <c r="A844" s="1923"/>
      <c r="B844" s="1922"/>
      <c r="C844" s="3141" t="s">
        <v>1008</v>
      </c>
      <c r="D844" s="3140" t="s">
        <v>1007</v>
      </c>
      <c r="E844" s="2496">
        <v>105100</v>
      </c>
      <c r="F844" s="2871">
        <v>105100</v>
      </c>
      <c r="G844" s="2870">
        <f>81600+500+32000</f>
        <v>114100</v>
      </c>
      <c r="H844" s="3111">
        <f t="shared" si="58"/>
        <v>1.0856327307326357</v>
      </c>
      <c r="J844" s="1702" t="s">
        <v>1323</v>
      </c>
    </row>
    <row r="845" spans="1:10" s="1906" customFormat="1" ht="17.100000000000001" customHeight="1">
      <c r="A845" s="1923"/>
      <c r="B845" s="1922"/>
      <c r="C845" s="3154" t="s">
        <v>1004</v>
      </c>
      <c r="D845" s="3153" t="s">
        <v>1003</v>
      </c>
      <c r="E845" s="2496">
        <v>3107000</v>
      </c>
      <c r="F845" s="2871">
        <v>4497000</v>
      </c>
      <c r="G845" s="2870">
        <f>6897800+59800+935773</f>
        <v>7893373</v>
      </c>
      <c r="H845" s="3111">
        <f t="shared" si="58"/>
        <v>1.7552530575939516</v>
      </c>
      <c r="J845" s="1702" t="s">
        <v>1323</v>
      </c>
    </row>
    <row r="846" spans="1:10" s="1906" customFormat="1" ht="17.100000000000001" customHeight="1">
      <c r="A846" s="1922"/>
      <c r="B846" s="1922"/>
      <c r="C846" s="2499" t="s">
        <v>1002</v>
      </c>
      <c r="D846" s="2498" t="s">
        <v>1001</v>
      </c>
      <c r="E846" s="2496">
        <v>1725487</v>
      </c>
      <c r="F846" s="2496">
        <v>1453726</v>
      </c>
      <c r="G846" s="1929">
        <f>1308900+6540+746500</f>
        <v>2061940</v>
      </c>
      <c r="H846" s="2497">
        <f t="shared" si="58"/>
        <v>1.4183828314276556</v>
      </c>
      <c r="J846" s="1702" t="s">
        <v>1323</v>
      </c>
    </row>
    <row r="847" spans="1:10" s="1906" customFormat="1" ht="17.100000000000001" customHeight="1">
      <c r="A847" s="1923"/>
      <c r="B847" s="1922"/>
      <c r="C847" s="3146" t="s">
        <v>1000</v>
      </c>
      <c r="D847" s="3145" t="s">
        <v>999</v>
      </c>
      <c r="E847" s="1975">
        <v>134200</v>
      </c>
      <c r="F847" s="2871">
        <v>173960</v>
      </c>
      <c r="G847" s="2870">
        <f>81200+1000+63300</f>
        <v>145500</v>
      </c>
      <c r="H847" s="3111">
        <f t="shared" si="58"/>
        <v>0.83639917222349969</v>
      </c>
      <c r="J847" s="1702" t="s">
        <v>1323</v>
      </c>
    </row>
    <row r="848" spans="1:10" s="1906" customFormat="1" ht="17.100000000000001" customHeight="1">
      <c r="A848" s="1923"/>
      <c r="B848" s="1922"/>
      <c r="C848" s="3171" t="s">
        <v>959</v>
      </c>
      <c r="D848" s="3170" t="s">
        <v>958</v>
      </c>
      <c r="E848" s="2871">
        <v>4681860</v>
      </c>
      <c r="F848" s="2871">
        <v>5274646</v>
      </c>
      <c r="G848" s="2870">
        <f>45000+2650834+81240+1425000+690000</f>
        <v>4892074</v>
      </c>
      <c r="H848" s="3111">
        <f t="shared" si="58"/>
        <v>0.92746963492905499</v>
      </c>
      <c r="J848" s="1702" t="s">
        <v>1332</v>
      </c>
    </row>
    <row r="849" spans="1:10" s="1906" customFormat="1" ht="16.5" customHeight="1">
      <c r="A849" s="1923"/>
      <c r="B849" s="1922"/>
      <c r="C849" s="2013" t="s">
        <v>998</v>
      </c>
      <c r="D849" s="3168" t="s">
        <v>997</v>
      </c>
      <c r="E849" s="2496">
        <v>274800</v>
      </c>
      <c r="F849" s="2871">
        <v>224800</v>
      </c>
      <c r="G849" s="2870">
        <f>225000+1150+75500</f>
        <v>301650</v>
      </c>
      <c r="H849" s="3111">
        <f t="shared" si="58"/>
        <v>1.3418594306049823</v>
      </c>
      <c r="J849" s="1702" t="s">
        <v>1323</v>
      </c>
    </row>
    <row r="850" spans="1:10" s="1906" customFormat="1" ht="17.100000000000001" customHeight="1">
      <c r="A850" s="1923"/>
      <c r="B850" s="1922"/>
      <c r="C850" s="2499" t="s">
        <v>1123</v>
      </c>
      <c r="D850" s="2498" t="s">
        <v>1119</v>
      </c>
      <c r="E850" s="2496">
        <v>10200</v>
      </c>
      <c r="F850" s="2871">
        <v>10200</v>
      </c>
      <c r="G850" s="2870">
        <v>10200</v>
      </c>
      <c r="H850" s="3111">
        <f t="shared" si="58"/>
        <v>1</v>
      </c>
      <c r="J850" s="1702" t="s">
        <v>1064</v>
      </c>
    </row>
    <row r="851" spans="1:10" s="1906" customFormat="1" ht="17.100000000000001" customHeight="1">
      <c r="A851" s="1923"/>
      <c r="B851" s="1922"/>
      <c r="C851" s="3141" t="s">
        <v>996</v>
      </c>
      <c r="D851" s="3140" t="s">
        <v>995</v>
      </c>
      <c r="E851" s="2496">
        <v>124200</v>
      </c>
      <c r="F851" s="2871">
        <v>89200</v>
      </c>
      <c r="G851" s="2870">
        <f>61200+30000</f>
        <v>91200</v>
      </c>
      <c r="H851" s="3111">
        <f t="shared" si="58"/>
        <v>1.0224215246636772</v>
      </c>
      <c r="J851" s="1702" t="s">
        <v>1324</v>
      </c>
    </row>
    <row r="852" spans="1:10" s="1906" customFormat="1" ht="30" hidden="1" customHeight="1">
      <c r="A852" s="1923"/>
      <c r="B852" s="1922"/>
      <c r="C852" s="3141" t="s">
        <v>994</v>
      </c>
      <c r="D852" s="3140" t="s">
        <v>993</v>
      </c>
      <c r="E852" s="2496">
        <v>13000</v>
      </c>
      <c r="F852" s="2871">
        <v>13000</v>
      </c>
      <c r="G852" s="2870">
        <v>0</v>
      </c>
      <c r="H852" s="3111">
        <f t="shared" si="58"/>
        <v>0</v>
      </c>
      <c r="J852" s="1702"/>
    </row>
    <row r="853" spans="1:10" s="1906" customFormat="1" ht="17.100000000000001" customHeight="1">
      <c r="A853" s="1923"/>
      <c r="B853" s="1922"/>
      <c r="C853" s="3141" t="s">
        <v>992</v>
      </c>
      <c r="D853" s="3140" t="s">
        <v>991</v>
      </c>
      <c r="E853" s="2496">
        <v>171500</v>
      </c>
      <c r="F853" s="2871">
        <v>171500</v>
      </c>
      <c r="G853" s="2870">
        <f>153000+2700+20000</f>
        <v>175700</v>
      </c>
      <c r="H853" s="3111">
        <f t="shared" si="58"/>
        <v>1.0244897959183674</v>
      </c>
      <c r="J853" s="1702" t="s">
        <v>1323</v>
      </c>
    </row>
    <row r="854" spans="1:10" s="1906" customFormat="1" ht="17.100000000000001" customHeight="1">
      <c r="A854" s="1923"/>
      <c r="B854" s="1922"/>
      <c r="C854" s="3141" t="s">
        <v>990</v>
      </c>
      <c r="D854" s="3140" t="s">
        <v>989</v>
      </c>
      <c r="E854" s="2496">
        <v>270000</v>
      </c>
      <c r="F854" s="2871">
        <v>270000</v>
      </c>
      <c r="G854" s="2870">
        <f>255000+20000</f>
        <v>275000</v>
      </c>
      <c r="H854" s="3111">
        <f t="shared" si="58"/>
        <v>1.0185185185185186</v>
      </c>
      <c r="J854" s="1702" t="s">
        <v>1324</v>
      </c>
    </row>
    <row r="855" spans="1:10" s="1906" customFormat="1" ht="17.100000000000001" customHeight="1" thickBot="1">
      <c r="A855" s="1913"/>
      <c r="B855" s="1912"/>
      <c r="C855" s="3166" t="s">
        <v>988</v>
      </c>
      <c r="D855" s="3165" t="s">
        <v>987</v>
      </c>
      <c r="E855" s="1909">
        <v>304200</v>
      </c>
      <c r="F855" s="2857">
        <v>264200</v>
      </c>
      <c r="G855" s="1915">
        <f>231000+2200+214000</f>
        <v>447200</v>
      </c>
      <c r="H855" s="3111">
        <f t="shared" si="58"/>
        <v>1.692657077971234</v>
      </c>
      <c r="J855" s="1702" t="s">
        <v>1323</v>
      </c>
    </row>
    <row r="856" spans="1:10" s="1906" customFormat="1" ht="17.100000000000001" customHeight="1">
      <c r="A856" s="1954"/>
      <c r="B856" s="2321"/>
      <c r="C856" s="2263" t="s">
        <v>986</v>
      </c>
      <c r="D856" s="2320" t="s">
        <v>985</v>
      </c>
      <c r="E856" s="2261">
        <v>2362436</v>
      </c>
      <c r="F856" s="2261">
        <v>2379936</v>
      </c>
      <c r="G856" s="1951">
        <f>1913822+14136+455377</f>
        <v>2383335</v>
      </c>
      <c r="H856" s="3111">
        <f t="shared" si="58"/>
        <v>1.0014281896656045</v>
      </c>
      <c r="J856" s="1702" t="s">
        <v>1323</v>
      </c>
    </row>
    <row r="857" spans="1:10" s="1906" customFormat="1" ht="17.100000000000001" customHeight="1">
      <c r="A857" s="1923"/>
      <c r="B857" s="1922"/>
      <c r="C857" s="3141" t="s">
        <v>984</v>
      </c>
      <c r="D857" s="3140" t="s">
        <v>983</v>
      </c>
      <c r="E857" s="2496">
        <v>151900</v>
      </c>
      <c r="F857" s="2871">
        <v>32900</v>
      </c>
      <c r="G857" s="2870">
        <f>2200+43000</f>
        <v>45200</v>
      </c>
      <c r="H857" s="3111">
        <f t="shared" si="58"/>
        <v>1.3738601823708207</v>
      </c>
      <c r="J857" s="1702" t="s">
        <v>1331</v>
      </c>
    </row>
    <row r="858" spans="1:10" s="1906" customFormat="1" ht="28.5" customHeight="1">
      <c r="A858" s="1923"/>
      <c r="B858" s="1922"/>
      <c r="C858" s="3141" t="s">
        <v>1330</v>
      </c>
      <c r="D858" s="3145" t="s">
        <v>1329</v>
      </c>
      <c r="E858" s="2496">
        <v>5000</v>
      </c>
      <c r="F858" s="2871">
        <v>860</v>
      </c>
      <c r="G858" s="2870">
        <v>2000</v>
      </c>
      <c r="H858" s="3111">
        <f t="shared" si="58"/>
        <v>2.3255813953488373</v>
      </c>
      <c r="J858" s="1702" t="s">
        <v>1328</v>
      </c>
    </row>
    <row r="859" spans="1:10" s="1906" customFormat="1" ht="17.100000000000001" customHeight="1">
      <c r="A859" s="1923"/>
      <c r="B859" s="1922"/>
      <c r="C859" s="3141" t="s">
        <v>1229</v>
      </c>
      <c r="D859" s="3140" t="s">
        <v>1228</v>
      </c>
      <c r="E859" s="2496">
        <v>10200</v>
      </c>
      <c r="F859" s="2871">
        <v>10440</v>
      </c>
      <c r="G859" s="2870">
        <f>10200+500</f>
        <v>10700</v>
      </c>
      <c r="H859" s="3111">
        <f t="shared" si="58"/>
        <v>1.024904214559387</v>
      </c>
      <c r="J859" s="1702" t="s">
        <v>1324</v>
      </c>
    </row>
    <row r="860" spans="1:10" s="1906" customFormat="1" ht="17.100000000000001" customHeight="1">
      <c r="A860" s="1923"/>
      <c r="B860" s="1922"/>
      <c r="C860" s="3141" t="s">
        <v>1089</v>
      </c>
      <c r="D860" s="3140" t="s">
        <v>1092</v>
      </c>
      <c r="E860" s="2496">
        <v>392500</v>
      </c>
      <c r="F860" s="2871">
        <v>235950</v>
      </c>
      <c r="G860" s="2870">
        <f>230000+70200</f>
        <v>300200</v>
      </c>
      <c r="H860" s="3111">
        <f t="shared" si="58"/>
        <v>1.272303454121636</v>
      </c>
      <c r="J860" s="1702" t="s">
        <v>1324</v>
      </c>
    </row>
    <row r="861" spans="1:10" s="1906" customFormat="1" ht="17.100000000000001" customHeight="1">
      <c r="A861" s="1923"/>
      <c r="B861" s="1922"/>
      <c r="C861" s="3146" t="s">
        <v>1158</v>
      </c>
      <c r="D861" s="3145" t="s">
        <v>1157</v>
      </c>
      <c r="E861" s="2496">
        <v>102000</v>
      </c>
      <c r="F861" s="2871">
        <v>102000</v>
      </c>
      <c r="G861" s="2870">
        <v>102000</v>
      </c>
      <c r="H861" s="3111">
        <f t="shared" si="58"/>
        <v>1</v>
      </c>
      <c r="J861" s="1702" t="s">
        <v>1064</v>
      </c>
    </row>
    <row r="862" spans="1:10" ht="17.100000000000001" hidden="1" customHeight="1">
      <c r="A862" s="1836"/>
      <c r="B862" s="1822"/>
      <c r="C862" s="3186" t="s">
        <v>1239</v>
      </c>
      <c r="D862" s="3185" t="s">
        <v>1238</v>
      </c>
      <c r="E862" s="2526">
        <v>0</v>
      </c>
      <c r="F862" s="2687">
        <v>271</v>
      </c>
      <c r="G862" s="2686">
        <v>0</v>
      </c>
      <c r="H862" s="3184">
        <f t="shared" si="58"/>
        <v>0</v>
      </c>
    </row>
    <row r="863" spans="1:10" s="1906" customFormat="1" ht="17.100000000000001" customHeight="1">
      <c r="A863" s="1923"/>
      <c r="B863" s="1922"/>
      <c r="C863" s="3183" t="s">
        <v>1122</v>
      </c>
      <c r="D863" s="3182" t="s">
        <v>1118</v>
      </c>
      <c r="E863" s="2496">
        <v>102000</v>
      </c>
      <c r="F863" s="2871">
        <v>302000</v>
      </c>
      <c r="G863" s="2870">
        <f>102000+500</f>
        <v>102500</v>
      </c>
      <c r="H863" s="3111">
        <f t="shared" si="58"/>
        <v>0.33940397350993379</v>
      </c>
      <c r="J863" s="1702" t="s">
        <v>1324</v>
      </c>
    </row>
    <row r="864" spans="1:10" s="1906" customFormat="1" ht="20.25" customHeight="1">
      <c r="A864" s="1923"/>
      <c r="B864" s="1922"/>
      <c r="C864" s="3181" t="s">
        <v>982</v>
      </c>
      <c r="D864" s="3160" t="s">
        <v>981</v>
      </c>
      <c r="E864" s="2496">
        <v>290000</v>
      </c>
      <c r="F864" s="2871">
        <v>290000</v>
      </c>
      <c r="G864" s="2870">
        <f>204000+10000+100000</f>
        <v>314000</v>
      </c>
      <c r="H864" s="3111">
        <f t="shared" si="58"/>
        <v>1.0827586206896551</v>
      </c>
      <c r="J864" s="1702" t="s">
        <v>1323</v>
      </c>
    </row>
    <row r="865" spans="1:10" ht="12" customHeight="1">
      <c r="A865" s="1836"/>
      <c r="B865" s="1822"/>
      <c r="C865" s="2163"/>
      <c r="D865" s="2163"/>
      <c r="E865" s="2162"/>
      <c r="F865" s="2682"/>
      <c r="G865" s="2681"/>
      <c r="H865" s="3117"/>
    </row>
    <row r="866" spans="1:10" ht="17.100000000000001" customHeight="1">
      <c r="A866" s="1836"/>
      <c r="B866" s="1822"/>
      <c r="C866" s="4503" t="s">
        <v>952</v>
      </c>
      <c r="D866" s="4503"/>
      <c r="E866" s="2871">
        <f>SUM(E867)</f>
        <v>438500</v>
      </c>
      <c r="F866" s="2871">
        <f>SUM(F867:F868)</f>
        <v>538643</v>
      </c>
      <c r="G866" s="2870">
        <f>SUM(G867)</f>
        <v>568800</v>
      </c>
      <c r="H866" s="3180">
        <f>G866/F866</f>
        <v>1.0559869895273863</v>
      </c>
    </row>
    <row r="867" spans="1:10" ht="17.100000000000001" customHeight="1">
      <c r="A867" s="1836"/>
      <c r="B867" s="1822"/>
      <c r="C867" s="2499" t="s">
        <v>980</v>
      </c>
      <c r="D867" s="2498" t="s">
        <v>979</v>
      </c>
      <c r="E867" s="2496">
        <v>438500</v>
      </c>
      <c r="F867" s="2871">
        <v>538500</v>
      </c>
      <c r="G867" s="2870">
        <f>142800+1000+425000</f>
        <v>568800</v>
      </c>
      <c r="H867" s="3180">
        <f>G867/F867</f>
        <v>1.056267409470752</v>
      </c>
      <c r="J867" s="1702" t="s">
        <v>1323</v>
      </c>
    </row>
    <row r="868" spans="1:10" ht="17.100000000000001" hidden="1" customHeight="1">
      <c r="A868" s="1836"/>
      <c r="B868" s="1822"/>
      <c r="C868" s="3179" t="s">
        <v>978</v>
      </c>
      <c r="D868" s="3178" t="s">
        <v>977</v>
      </c>
      <c r="E868" s="2496"/>
      <c r="F868" s="2871">
        <v>143</v>
      </c>
      <c r="G868" s="2870">
        <v>0</v>
      </c>
      <c r="H868" s="3111">
        <f>G868/F868</f>
        <v>0</v>
      </c>
    </row>
    <row r="869" spans="1:10" ht="12.75" customHeight="1">
      <c r="A869" s="1836"/>
      <c r="B869" s="1822"/>
      <c r="C869" s="2634"/>
      <c r="D869" s="3177"/>
      <c r="E869" s="2634"/>
      <c r="F869" s="2526"/>
      <c r="G869" s="2681"/>
      <c r="H869" s="3117"/>
    </row>
    <row r="870" spans="1:10" s="1906" customFormat="1" ht="17.100000000000001" customHeight="1">
      <c r="A870" s="1923"/>
      <c r="B870" s="1922"/>
      <c r="C870" s="4504" t="s">
        <v>976</v>
      </c>
      <c r="D870" s="4505"/>
      <c r="E870" s="2496">
        <f>SUM(E871:E914)</f>
        <v>43301610</v>
      </c>
      <c r="F870" s="2496">
        <f>SUM(F871:F914)</f>
        <v>44701530</v>
      </c>
      <c r="G870" s="1929">
        <f>SUM(G871:G914)</f>
        <v>50911433</v>
      </c>
      <c r="H870" s="3111">
        <f t="shared" ref="H870:H884" si="59">G870/F870</f>
        <v>1.1389192495200948</v>
      </c>
      <c r="J870" s="1702" t="s">
        <v>1064</v>
      </c>
    </row>
    <row r="871" spans="1:10" s="1906" customFormat="1" ht="17.100000000000001" customHeight="1">
      <c r="A871" s="1923"/>
      <c r="B871" s="1922"/>
      <c r="C871" s="3176" t="s">
        <v>534</v>
      </c>
      <c r="D871" s="2498" t="s">
        <v>979</v>
      </c>
      <c r="E871" s="2871">
        <v>25500</v>
      </c>
      <c r="F871" s="2871">
        <v>25500</v>
      </c>
      <c r="G871" s="3159">
        <v>25500</v>
      </c>
      <c r="H871" s="3111">
        <f t="shared" si="59"/>
        <v>1</v>
      </c>
      <c r="J871" s="1702"/>
    </row>
    <row r="872" spans="1:10" s="1906" customFormat="1" ht="17.100000000000001" customHeight="1">
      <c r="A872" s="1923"/>
      <c r="B872" s="1922"/>
      <c r="C872" s="3175" t="s">
        <v>515</v>
      </c>
      <c r="D872" s="1973" t="s">
        <v>979</v>
      </c>
      <c r="E872" s="2871">
        <v>4500</v>
      </c>
      <c r="F872" s="2871">
        <v>4500</v>
      </c>
      <c r="G872" s="3159">
        <v>4500</v>
      </c>
      <c r="H872" s="3111">
        <f t="shared" si="59"/>
        <v>1</v>
      </c>
      <c r="J872" s="1702"/>
    </row>
    <row r="873" spans="1:10" s="1906" customFormat="1" ht="17.100000000000001" customHeight="1">
      <c r="A873" s="1922"/>
      <c r="B873" s="1922"/>
      <c r="C873" s="3099" t="s">
        <v>631</v>
      </c>
      <c r="D873" s="3160" t="s">
        <v>977</v>
      </c>
      <c r="E873" s="2871">
        <v>10200</v>
      </c>
      <c r="F873" s="2871">
        <v>10200</v>
      </c>
      <c r="G873" s="3159">
        <v>20400</v>
      </c>
      <c r="H873" s="3111">
        <f t="shared" si="59"/>
        <v>2</v>
      </c>
      <c r="J873" s="1702"/>
    </row>
    <row r="874" spans="1:10" s="1906" customFormat="1" ht="15" customHeight="1">
      <c r="A874" s="1923"/>
      <c r="B874" s="1922"/>
      <c r="C874" s="3100" t="s">
        <v>630</v>
      </c>
      <c r="D874" s="2565" t="s">
        <v>977</v>
      </c>
      <c r="E874" s="2496">
        <v>1800</v>
      </c>
      <c r="F874" s="2496">
        <v>1800</v>
      </c>
      <c r="G874" s="3159">
        <v>3600</v>
      </c>
      <c r="H874" s="2497">
        <f t="shared" si="59"/>
        <v>2</v>
      </c>
      <c r="J874" s="1702"/>
    </row>
    <row r="875" spans="1:10" s="1906" customFormat="1" ht="17.100000000000001" customHeight="1">
      <c r="A875" s="1922"/>
      <c r="B875" s="1922"/>
      <c r="C875" s="2499" t="s">
        <v>479</v>
      </c>
      <c r="D875" s="2498" t="s">
        <v>1015</v>
      </c>
      <c r="E875" s="2496">
        <v>22525000</v>
      </c>
      <c r="F875" s="2496">
        <v>22525000</v>
      </c>
      <c r="G875" s="3159">
        <v>25927397</v>
      </c>
      <c r="H875" s="2497">
        <f t="shared" si="59"/>
        <v>1.1510498113207548</v>
      </c>
      <c r="J875" s="1702"/>
    </row>
    <row r="876" spans="1:10" s="1906" customFormat="1" ht="17.100000000000001" customHeight="1">
      <c r="A876" s="1923"/>
      <c r="B876" s="1922"/>
      <c r="C876" s="3141" t="s">
        <v>461</v>
      </c>
      <c r="D876" s="3140" t="s">
        <v>1015</v>
      </c>
      <c r="E876" s="2871">
        <v>3975000</v>
      </c>
      <c r="F876" s="2871">
        <v>3975000</v>
      </c>
      <c r="G876" s="3159">
        <v>4575423</v>
      </c>
      <c r="H876" s="3111">
        <f t="shared" si="59"/>
        <v>1.1510498113207548</v>
      </c>
      <c r="J876" s="1702"/>
    </row>
    <row r="877" spans="1:10" s="1906" customFormat="1" ht="17.100000000000001" customHeight="1">
      <c r="A877" s="1923"/>
      <c r="B877" s="1922"/>
      <c r="C877" s="3174" t="s">
        <v>536</v>
      </c>
      <c r="D877" s="3140" t="s">
        <v>1013</v>
      </c>
      <c r="E877" s="2871">
        <v>1474750</v>
      </c>
      <c r="F877" s="2871">
        <v>1474750</v>
      </c>
      <c r="G877" s="3159">
        <v>1658928</v>
      </c>
      <c r="H877" s="3111">
        <f t="shared" si="59"/>
        <v>1.1248876080691643</v>
      </c>
      <c r="J877" s="1702"/>
    </row>
    <row r="878" spans="1:10" s="1906" customFormat="1" ht="17.100000000000001" customHeight="1">
      <c r="A878" s="1923"/>
      <c r="B878" s="1922"/>
      <c r="C878" s="3154" t="s">
        <v>493</v>
      </c>
      <c r="D878" s="3153" t="s">
        <v>1013</v>
      </c>
      <c r="E878" s="2871">
        <v>260250</v>
      </c>
      <c r="F878" s="2871">
        <v>260250</v>
      </c>
      <c r="G878" s="3159">
        <v>292752</v>
      </c>
      <c r="H878" s="3111">
        <f t="shared" si="59"/>
        <v>1.1248876080691643</v>
      </c>
      <c r="J878" s="1702"/>
    </row>
    <row r="879" spans="1:10" s="1906" customFormat="1" ht="17.100000000000001" customHeight="1">
      <c r="A879" s="1922"/>
      <c r="B879" s="1922"/>
      <c r="C879" s="2499" t="s">
        <v>478</v>
      </c>
      <c r="D879" s="2498" t="s">
        <v>964</v>
      </c>
      <c r="E879" s="2496">
        <v>4102848</v>
      </c>
      <c r="F879" s="2496">
        <v>4102848</v>
      </c>
      <c r="G879" s="3159">
        <v>4772342</v>
      </c>
      <c r="H879" s="2497">
        <f t="shared" si="59"/>
        <v>1.1631778705913551</v>
      </c>
      <c r="J879" s="1702"/>
    </row>
    <row r="880" spans="1:10" s="1906" customFormat="1" ht="17.100000000000001" customHeight="1">
      <c r="A880" s="1923"/>
      <c r="B880" s="1922"/>
      <c r="C880" s="3141" t="s">
        <v>459</v>
      </c>
      <c r="D880" s="3140" t="s">
        <v>964</v>
      </c>
      <c r="E880" s="2871">
        <v>724032</v>
      </c>
      <c r="F880" s="2871">
        <v>724032</v>
      </c>
      <c r="G880" s="3159">
        <v>842178</v>
      </c>
      <c r="H880" s="3111">
        <f t="shared" si="59"/>
        <v>1.1631778705913551</v>
      </c>
      <c r="J880" s="1702"/>
    </row>
    <row r="881" spans="1:10" s="1906" customFormat="1" ht="16.5" customHeight="1">
      <c r="A881" s="1923"/>
      <c r="B881" s="1922"/>
      <c r="C881" s="3141" t="s">
        <v>477</v>
      </c>
      <c r="D881" s="3140" t="s">
        <v>962</v>
      </c>
      <c r="E881" s="2871">
        <v>587333</v>
      </c>
      <c r="F881" s="2871">
        <v>587333</v>
      </c>
      <c r="G881" s="3159">
        <v>679949</v>
      </c>
      <c r="H881" s="3111">
        <f t="shared" si="59"/>
        <v>1.1576890792787056</v>
      </c>
      <c r="J881" s="1702"/>
    </row>
    <row r="882" spans="1:10" s="1906" customFormat="1" ht="16.5" customHeight="1">
      <c r="A882" s="1923"/>
      <c r="B882" s="1922"/>
      <c r="C882" s="3141" t="s">
        <v>457</v>
      </c>
      <c r="D882" s="3140" t="s">
        <v>962</v>
      </c>
      <c r="E882" s="2871">
        <v>103647</v>
      </c>
      <c r="F882" s="2871">
        <v>103647</v>
      </c>
      <c r="G882" s="3159">
        <v>119991</v>
      </c>
      <c r="H882" s="3111">
        <f t="shared" si="59"/>
        <v>1.1576890792787056</v>
      </c>
      <c r="J882" s="1702"/>
    </row>
    <row r="883" spans="1:10" s="1906" customFormat="1" ht="17.100000000000001" customHeight="1">
      <c r="A883" s="1923"/>
      <c r="B883" s="1922"/>
      <c r="C883" s="3141" t="s">
        <v>535</v>
      </c>
      <c r="D883" s="3140" t="s">
        <v>973</v>
      </c>
      <c r="E883" s="2871">
        <v>893350</v>
      </c>
      <c r="F883" s="2871">
        <v>733550</v>
      </c>
      <c r="G883" s="3159">
        <f>1190850+38250+17000+34000</f>
        <v>1280100</v>
      </c>
      <c r="H883" s="3111">
        <f t="shared" si="59"/>
        <v>1.7450753186558516</v>
      </c>
      <c r="J883" s="1702" t="s">
        <v>1326</v>
      </c>
    </row>
    <row r="884" spans="1:10" s="1906" customFormat="1" ht="17.100000000000001" customHeight="1">
      <c r="A884" s="1923"/>
      <c r="B884" s="1922"/>
      <c r="C884" s="3141" t="s">
        <v>455</v>
      </c>
      <c r="D884" s="3140" t="s">
        <v>973</v>
      </c>
      <c r="E884" s="2871">
        <v>157650</v>
      </c>
      <c r="F884" s="2871">
        <v>129450</v>
      </c>
      <c r="G884" s="3159">
        <f>210150+6750+3000+6000</f>
        <v>225900</v>
      </c>
      <c r="H884" s="3111">
        <f t="shared" si="59"/>
        <v>1.7450753186558516</v>
      </c>
      <c r="J884" s="1702" t="s">
        <v>1326</v>
      </c>
    </row>
    <row r="885" spans="1:10" s="1906" customFormat="1" ht="17.100000000000001" customHeight="1">
      <c r="A885" s="1923"/>
      <c r="B885" s="1922"/>
      <c r="C885" s="3141" t="s">
        <v>450</v>
      </c>
      <c r="D885" s="3140" t="s">
        <v>960</v>
      </c>
      <c r="E885" s="2871"/>
      <c r="F885" s="2871">
        <v>0</v>
      </c>
      <c r="G885" s="3159">
        <v>36072</v>
      </c>
      <c r="H885" s="3111"/>
      <c r="J885" s="1702" t="s">
        <v>1121</v>
      </c>
    </row>
    <row r="886" spans="1:10" s="1906" customFormat="1" ht="17.100000000000001" customHeight="1">
      <c r="A886" s="1923"/>
      <c r="B886" s="1922"/>
      <c r="C886" s="3141" t="s">
        <v>533</v>
      </c>
      <c r="D886" s="3140" t="s">
        <v>960</v>
      </c>
      <c r="E886" s="2871">
        <v>1181500</v>
      </c>
      <c r="F886" s="2871">
        <v>1236927</v>
      </c>
      <c r="G886" s="3159">
        <f>1020000+170000</f>
        <v>1190000</v>
      </c>
      <c r="H886" s="3111">
        <f t="shared" ref="H886:H894" si="60">G886/F886</f>
        <v>0.96206162530205908</v>
      </c>
      <c r="J886" s="1702" t="s">
        <v>1315</v>
      </c>
    </row>
    <row r="887" spans="1:10" s="1906" customFormat="1" ht="17.100000000000001" customHeight="1">
      <c r="A887" s="1923"/>
      <c r="B887" s="1922"/>
      <c r="C887" s="3141" t="s">
        <v>449</v>
      </c>
      <c r="D887" s="3140" t="s">
        <v>960</v>
      </c>
      <c r="E887" s="2871">
        <v>208500</v>
      </c>
      <c r="F887" s="2871">
        <v>218281</v>
      </c>
      <c r="G887" s="3159">
        <f>180000+6728+30000</f>
        <v>216728</v>
      </c>
      <c r="H887" s="3111">
        <f t="shared" si="60"/>
        <v>0.99288531754939735</v>
      </c>
      <c r="J887" s="1702" t="s">
        <v>1327</v>
      </c>
    </row>
    <row r="888" spans="1:10" s="1906" customFormat="1" ht="17.100000000000001" customHeight="1">
      <c r="A888" s="1923"/>
      <c r="B888" s="1922"/>
      <c r="C888" s="3141" t="s">
        <v>532</v>
      </c>
      <c r="D888" s="3140" t="s">
        <v>1003</v>
      </c>
      <c r="E888" s="2871">
        <v>391000</v>
      </c>
      <c r="F888" s="2871">
        <v>561000</v>
      </c>
      <c r="G888" s="3159">
        <v>1275000</v>
      </c>
      <c r="H888" s="3111">
        <f t="shared" si="60"/>
        <v>2.2727272727272729</v>
      </c>
      <c r="J888" s="1702"/>
    </row>
    <row r="889" spans="1:10" s="1906" customFormat="1" ht="17.100000000000001" customHeight="1">
      <c r="A889" s="1923"/>
      <c r="B889" s="1922"/>
      <c r="C889" s="3141" t="s">
        <v>447</v>
      </c>
      <c r="D889" s="3140" t="s">
        <v>1003</v>
      </c>
      <c r="E889" s="2871">
        <v>69000</v>
      </c>
      <c r="F889" s="2871">
        <v>99000</v>
      </c>
      <c r="G889" s="3159">
        <v>225000</v>
      </c>
      <c r="H889" s="3111">
        <f t="shared" si="60"/>
        <v>2.2727272727272729</v>
      </c>
      <c r="J889" s="1702"/>
    </row>
    <row r="890" spans="1:10" s="1906" customFormat="1" ht="17.100000000000001" customHeight="1">
      <c r="A890" s="1923"/>
      <c r="B890" s="1922"/>
      <c r="C890" s="3141" t="s">
        <v>530</v>
      </c>
      <c r="D890" s="3140" t="s">
        <v>999</v>
      </c>
      <c r="E890" s="2871">
        <v>22950</v>
      </c>
      <c r="F890" s="2871">
        <v>22950</v>
      </c>
      <c r="G890" s="3159">
        <v>22950</v>
      </c>
      <c r="H890" s="3111">
        <f t="shared" si="60"/>
        <v>1</v>
      </c>
      <c r="J890" s="1702"/>
    </row>
    <row r="891" spans="1:10" s="1906" customFormat="1" ht="17.100000000000001" customHeight="1">
      <c r="A891" s="1923"/>
      <c r="B891" s="1922"/>
      <c r="C891" s="3141" t="s">
        <v>511</v>
      </c>
      <c r="D891" s="3140" t="s">
        <v>999</v>
      </c>
      <c r="E891" s="2871">
        <v>4050</v>
      </c>
      <c r="F891" s="2871">
        <v>4050</v>
      </c>
      <c r="G891" s="3159">
        <v>4050</v>
      </c>
      <c r="H891" s="3111">
        <f t="shared" si="60"/>
        <v>1</v>
      </c>
      <c r="J891" s="1702"/>
    </row>
    <row r="892" spans="1:10" s="1906" customFormat="1" ht="17.100000000000001" customHeight="1">
      <c r="A892" s="1923"/>
      <c r="B892" s="1922"/>
      <c r="C892" s="3141" t="s">
        <v>529</v>
      </c>
      <c r="D892" s="3140" t="s">
        <v>958</v>
      </c>
      <c r="E892" s="2871">
        <v>2787300</v>
      </c>
      <c r="F892" s="2871">
        <v>3683873</v>
      </c>
      <c r="G892" s="3159">
        <f>569160+78910+59516+3305600</f>
        <v>4013186</v>
      </c>
      <c r="H892" s="3111">
        <f t="shared" si="60"/>
        <v>1.0893931468321518</v>
      </c>
      <c r="J892" s="1702" t="s">
        <v>1326</v>
      </c>
    </row>
    <row r="893" spans="1:10" s="1906" customFormat="1" ht="17.100000000000001" customHeight="1">
      <c r="A893" s="1922"/>
      <c r="B893" s="1922"/>
      <c r="C893" s="3154" t="s">
        <v>445</v>
      </c>
      <c r="D893" s="3153" t="s">
        <v>958</v>
      </c>
      <c r="E893" s="2871">
        <v>491876</v>
      </c>
      <c r="F893" s="2871">
        <v>650095</v>
      </c>
      <c r="G893" s="3159">
        <f>100440+13925+9421+583341</f>
        <v>707127</v>
      </c>
      <c r="H893" s="3111">
        <f t="shared" si="60"/>
        <v>1.0877287165721934</v>
      </c>
      <c r="J893" s="1702" t="s">
        <v>1326</v>
      </c>
    </row>
    <row r="894" spans="1:10" ht="26.25" hidden="1" customHeight="1">
      <c r="A894" s="1836"/>
      <c r="B894" s="1822"/>
      <c r="C894" s="2720" t="s">
        <v>528</v>
      </c>
      <c r="D894" s="2719" t="s">
        <v>1325</v>
      </c>
      <c r="E894" s="2526">
        <v>0</v>
      </c>
      <c r="F894" s="2682"/>
      <c r="G894" s="3159"/>
      <c r="H894" s="3117" t="e">
        <f t="shared" si="60"/>
        <v>#DIV/0!</v>
      </c>
    </row>
    <row r="895" spans="1:10" ht="16.5" customHeight="1">
      <c r="A895" s="1836"/>
      <c r="B895" s="1822"/>
      <c r="C895" s="2502" t="s">
        <v>570</v>
      </c>
      <c r="D895" s="3140" t="s">
        <v>1119</v>
      </c>
      <c r="E895" s="2526"/>
      <c r="F895" s="2687">
        <v>0</v>
      </c>
      <c r="G895" s="3159">
        <v>4214</v>
      </c>
      <c r="H895" s="3117"/>
      <c r="J895" s="1702" t="s">
        <v>1121</v>
      </c>
    </row>
    <row r="896" spans="1:10" s="1906" customFormat="1" ht="16.5" customHeight="1">
      <c r="A896" s="1923"/>
      <c r="B896" s="1922"/>
      <c r="C896" s="3141" t="s">
        <v>527</v>
      </c>
      <c r="D896" s="3140" t="s">
        <v>1119</v>
      </c>
      <c r="E896" s="2871">
        <v>5950</v>
      </c>
      <c r="F896" s="2871">
        <v>5950</v>
      </c>
      <c r="G896" s="3159">
        <v>9350</v>
      </c>
      <c r="H896" s="3111">
        <f t="shared" ref="H896:H914" si="61">G896/F896</f>
        <v>1.5714285714285714</v>
      </c>
      <c r="J896" s="1702"/>
    </row>
    <row r="897" spans="1:10" s="1906" customFormat="1" ht="16.5" customHeight="1">
      <c r="A897" s="1923"/>
      <c r="B897" s="1922"/>
      <c r="C897" s="3141" t="s">
        <v>526</v>
      </c>
      <c r="D897" s="3140" t="s">
        <v>1119</v>
      </c>
      <c r="E897" s="2871">
        <v>1050</v>
      </c>
      <c r="F897" s="2871">
        <v>1050</v>
      </c>
      <c r="G897" s="3159">
        <f>1650+786</f>
        <v>2436</v>
      </c>
      <c r="H897" s="3111">
        <f t="shared" si="61"/>
        <v>2.3199999999999998</v>
      </c>
      <c r="J897" s="1702" t="s">
        <v>1121</v>
      </c>
    </row>
    <row r="898" spans="1:10" s="1906" customFormat="1" ht="17.100000000000001" customHeight="1">
      <c r="A898" s="1923"/>
      <c r="B898" s="1922"/>
      <c r="C898" s="3141" t="s">
        <v>591</v>
      </c>
      <c r="D898" s="3140" t="s">
        <v>995</v>
      </c>
      <c r="E898" s="2871">
        <v>2140461</v>
      </c>
      <c r="F898" s="2871">
        <v>2368669</v>
      </c>
      <c r="G898" s="3159">
        <f>85000+180340+1410384</f>
        <v>1675724</v>
      </c>
      <c r="H898" s="3111">
        <f t="shared" si="61"/>
        <v>0.70745384855376581</v>
      </c>
      <c r="J898" s="1702" t="s">
        <v>1287</v>
      </c>
    </row>
    <row r="899" spans="1:10" s="1906" customFormat="1" ht="16.5" customHeight="1">
      <c r="A899" s="1923"/>
      <c r="B899" s="1922"/>
      <c r="C899" s="3141" t="s">
        <v>491</v>
      </c>
      <c r="D899" s="3140" t="s">
        <v>995</v>
      </c>
      <c r="E899" s="2871">
        <v>378289</v>
      </c>
      <c r="F899" s="2871">
        <v>418001</v>
      </c>
      <c r="G899" s="3159">
        <f>15000+31825+248891</f>
        <v>295716</v>
      </c>
      <c r="H899" s="3111">
        <f t="shared" si="61"/>
        <v>0.70745285298360527</v>
      </c>
      <c r="J899" s="1702" t="s">
        <v>1287</v>
      </c>
    </row>
    <row r="900" spans="1:10" ht="27.75" hidden="1" customHeight="1">
      <c r="A900" s="1836"/>
      <c r="B900" s="1822"/>
      <c r="C900" s="3173" t="s">
        <v>525</v>
      </c>
      <c r="D900" s="3172" t="s">
        <v>993</v>
      </c>
      <c r="E900" s="2682">
        <v>0</v>
      </c>
      <c r="F900" s="2682"/>
      <c r="G900" s="3159"/>
      <c r="H900" s="3117" t="e">
        <f t="shared" si="61"/>
        <v>#DIV/0!</v>
      </c>
    </row>
    <row r="901" spans="1:10" ht="25.5" hidden="1" customHeight="1">
      <c r="A901" s="1836"/>
      <c r="B901" s="1822"/>
      <c r="C901" s="3173" t="s">
        <v>509</v>
      </c>
      <c r="D901" s="3172" t="s">
        <v>993</v>
      </c>
      <c r="E901" s="2682">
        <v>0</v>
      </c>
      <c r="F901" s="2682"/>
      <c r="G901" s="3159"/>
      <c r="H901" s="3117" t="e">
        <f t="shared" si="61"/>
        <v>#DIV/0!</v>
      </c>
    </row>
    <row r="902" spans="1:10" s="1906" customFormat="1" ht="17.100000000000001" customHeight="1">
      <c r="A902" s="1923"/>
      <c r="B902" s="1922"/>
      <c r="C902" s="3141" t="s">
        <v>524</v>
      </c>
      <c r="D902" s="3140" t="s">
        <v>991</v>
      </c>
      <c r="E902" s="2871">
        <v>71750</v>
      </c>
      <c r="F902" s="2871">
        <v>71750</v>
      </c>
      <c r="G902" s="3159">
        <f>72250+10200</f>
        <v>82450</v>
      </c>
      <c r="H902" s="3111">
        <f t="shared" si="61"/>
        <v>1.1491289198606272</v>
      </c>
      <c r="J902" s="1702" t="s">
        <v>1315</v>
      </c>
    </row>
    <row r="903" spans="1:10" s="1906" customFormat="1" ht="17.100000000000001" customHeight="1">
      <c r="A903" s="1923"/>
      <c r="B903" s="1922"/>
      <c r="C903" s="3146" t="s">
        <v>466</v>
      </c>
      <c r="D903" s="3145" t="s">
        <v>991</v>
      </c>
      <c r="E903" s="3108">
        <v>12662</v>
      </c>
      <c r="F903" s="2871">
        <v>12662</v>
      </c>
      <c r="G903" s="3159">
        <f>12750+1800</f>
        <v>14550</v>
      </c>
      <c r="H903" s="3111">
        <f t="shared" si="61"/>
        <v>1.1491075659453482</v>
      </c>
      <c r="J903" s="1702" t="s">
        <v>1315</v>
      </c>
    </row>
    <row r="904" spans="1:10" s="1906" customFormat="1" ht="17.100000000000001" customHeight="1">
      <c r="A904" s="1923"/>
      <c r="B904" s="1922"/>
      <c r="C904" s="3171" t="s">
        <v>575</v>
      </c>
      <c r="D904" s="3170" t="s">
        <v>989</v>
      </c>
      <c r="E904" s="2871">
        <v>67500</v>
      </c>
      <c r="F904" s="2871">
        <v>67500</v>
      </c>
      <c r="G904" s="3159">
        <f>59500+10200</f>
        <v>69700</v>
      </c>
      <c r="H904" s="3111">
        <f t="shared" si="61"/>
        <v>1.0325925925925925</v>
      </c>
      <c r="J904" s="1702" t="s">
        <v>1315</v>
      </c>
    </row>
    <row r="905" spans="1:10" s="1906" customFormat="1" ht="17.100000000000001" customHeight="1">
      <c r="A905" s="1923"/>
      <c r="B905" s="1922"/>
      <c r="C905" s="2499" t="s">
        <v>574</v>
      </c>
      <c r="D905" s="2498" t="s">
        <v>989</v>
      </c>
      <c r="E905" s="2496">
        <v>11912</v>
      </c>
      <c r="F905" s="2871">
        <v>11912</v>
      </c>
      <c r="G905" s="3159">
        <f>10500+1800</f>
        <v>12300</v>
      </c>
      <c r="H905" s="3111">
        <f t="shared" si="61"/>
        <v>1.0325721961047682</v>
      </c>
      <c r="J905" s="1702" t="s">
        <v>1315</v>
      </c>
    </row>
    <row r="906" spans="1:10" s="1906" customFormat="1" ht="17.100000000000001" customHeight="1">
      <c r="A906" s="1923"/>
      <c r="B906" s="1922"/>
      <c r="C906" s="3141" t="s">
        <v>521</v>
      </c>
      <c r="D906" s="3140" t="s">
        <v>1092</v>
      </c>
      <c r="E906" s="2871">
        <v>51000</v>
      </c>
      <c r="F906" s="2871">
        <v>51000</v>
      </c>
      <c r="G906" s="3159">
        <v>51000</v>
      </c>
      <c r="H906" s="3111">
        <f t="shared" si="61"/>
        <v>1</v>
      </c>
      <c r="J906" s="1702"/>
    </row>
    <row r="907" spans="1:10" s="1906" customFormat="1" ht="17.100000000000001" customHeight="1">
      <c r="A907" s="1923"/>
      <c r="B907" s="1922"/>
      <c r="C907" s="3141" t="s">
        <v>487</v>
      </c>
      <c r="D907" s="3140" t="s">
        <v>1092</v>
      </c>
      <c r="E907" s="2871">
        <v>9000</v>
      </c>
      <c r="F907" s="2871">
        <v>9000</v>
      </c>
      <c r="G907" s="3159">
        <v>9000</v>
      </c>
      <c r="H907" s="3111">
        <f t="shared" si="61"/>
        <v>1</v>
      </c>
      <c r="J907" s="1702"/>
    </row>
    <row r="908" spans="1:10" s="1906" customFormat="1" ht="57.75" hidden="1" customHeight="1">
      <c r="A908" s="1923"/>
      <c r="B908" s="1922"/>
      <c r="C908" s="3169" t="s">
        <v>488</v>
      </c>
      <c r="D908" s="3145" t="s">
        <v>1137</v>
      </c>
      <c r="E908" s="2871">
        <v>0</v>
      </c>
      <c r="F908" s="2871"/>
      <c r="G908" s="3159"/>
      <c r="H908" s="3111" t="e">
        <f t="shared" si="61"/>
        <v>#DIV/0!</v>
      </c>
      <c r="J908" s="1702"/>
    </row>
    <row r="909" spans="1:10" s="1906" customFormat="1" ht="17.100000000000001" customHeight="1" thickBot="1">
      <c r="A909" s="1923"/>
      <c r="B909" s="1922"/>
      <c r="C909" s="3154" t="s">
        <v>520</v>
      </c>
      <c r="D909" s="3153" t="s">
        <v>1118</v>
      </c>
      <c r="E909" s="2871">
        <v>119000</v>
      </c>
      <c r="F909" s="2871">
        <v>119000</v>
      </c>
      <c r="G909" s="3159">
        <v>110500</v>
      </c>
      <c r="H909" s="2856">
        <f t="shared" si="61"/>
        <v>0.9285714285714286</v>
      </c>
      <c r="J909" s="1702"/>
    </row>
    <row r="910" spans="1:10" s="1906" customFormat="1" ht="17.100000000000001" customHeight="1">
      <c r="A910" s="1922"/>
      <c r="B910" s="1922"/>
      <c r="C910" s="2013" t="s">
        <v>507</v>
      </c>
      <c r="D910" s="3168" t="s">
        <v>1118</v>
      </c>
      <c r="E910" s="2496">
        <v>21000</v>
      </c>
      <c r="F910" s="2496">
        <v>21000</v>
      </c>
      <c r="G910" s="3167">
        <v>19500</v>
      </c>
      <c r="H910" s="1950">
        <f t="shared" si="61"/>
        <v>0.9285714285714286</v>
      </c>
      <c r="J910" s="1702"/>
    </row>
    <row r="911" spans="1:10" s="1906" customFormat="1" ht="18.75" customHeight="1" thickBot="1">
      <c r="A911" s="1913"/>
      <c r="B911" s="1912"/>
      <c r="C911" s="1911" t="s">
        <v>519</v>
      </c>
      <c r="D911" s="3713" t="s">
        <v>981</v>
      </c>
      <c r="E911" s="3715">
        <v>178500</v>
      </c>
      <c r="F911" s="3715">
        <v>178500</v>
      </c>
      <c r="G911" s="3164">
        <v>178500</v>
      </c>
      <c r="H911" s="3111">
        <f t="shared" si="61"/>
        <v>1</v>
      </c>
      <c r="J911" s="1702"/>
    </row>
    <row r="912" spans="1:10" s="1906" customFormat="1" ht="18.75" customHeight="1" thickBot="1">
      <c r="A912" s="1913"/>
      <c r="B912" s="1912"/>
      <c r="C912" s="1911" t="s">
        <v>485</v>
      </c>
      <c r="D912" s="3713" t="s">
        <v>981</v>
      </c>
      <c r="E912" s="1909">
        <v>31500</v>
      </c>
      <c r="F912" s="1909">
        <v>31500</v>
      </c>
      <c r="G912" s="3714">
        <v>31500</v>
      </c>
      <c r="H912" s="3111">
        <f t="shared" si="61"/>
        <v>1</v>
      </c>
      <c r="J912" s="1702"/>
    </row>
    <row r="913" spans="1:10" s="1906" customFormat="1" ht="17.100000000000001" customHeight="1">
      <c r="A913" s="1954"/>
      <c r="B913" s="1954"/>
      <c r="C913" s="3163" t="s">
        <v>476</v>
      </c>
      <c r="D913" s="3162" t="s">
        <v>1011</v>
      </c>
      <c r="E913" s="1952">
        <v>170000</v>
      </c>
      <c r="F913" s="1952">
        <v>170000</v>
      </c>
      <c r="G913" s="3161">
        <v>192032</v>
      </c>
      <c r="H913" s="3111">
        <f t="shared" si="61"/>
        <v>1.1295999999999999</v>
      </c>
      <c r="J913" s="1702"/>
    </row>
    <row r="914" spans="1:10" s="1906" customFormat="1" ht="17.100000000000001" customHeight="1">
      <c r="A914" s="1922"/>
      <c r="B914" s="1923"/>
      <c r="C914" s="3099" t="s">
        <v>453</v>
      </c>
      <c r="D914" s="3160" t="s">
        <v>1011</v>
      </c>
      <c r="E914" s="2871">
        <v>30000</v>
      </c>
      <c r="F914" s="2871">
        <v>30000</v>
      </c>
      <c r="G914" s="3159">
        <v>33888</v>
      </c>
      <c r="H914" s="3111">
        <f t="shared" si="61"/>
        <v>1.1295999999999999</v>
      </c>
      <c r="J914" s="1702"/>
    </row>
    <row r="915" spans="1:10" ht="14.25" customHeight="1">
      <c r="A915" s="1836"/>
      <c r="B915" s="1822"/>
      <c r="C915" s="2163"/>
      <c r="D915" s="2163"/>
      <c r="E915" s="2162"/>
      <c r="F915" s="2526"/>
      <c r="G915" s="1903"/>
      <c r="H915" s="2545"/>
    </row>
    <row r="916" spans="1:10" s="1906" customFormat="1" ht="17.100000000000001" customHeight="1">
      <c r="A916" s="1923"/>
      <c r="B916" s="1922"/>
      <c r="C916" s="4506" t="s">
        <v>941</v>
      </c>
      <c r="D916" s="4506"/>
      <c r="E916" s="3158">
        <f>SUM(E917)</f>
        <v>4332952</v>
      </c>
      <c r="F916" s="3158">
        <f>SUM(F917)</f>
        <v>6926890</v>
      </c>
      <c r="G916" s="2911">
        <f>SUM(G917)</f>
        <v>5106600</v>
      </c>
      <c r="H916" s="3157">
        <f t="shared" ref="H916:H921" si="62">G916/F916</f>
        <v>0.73721395893395159</v>
      </c>
      <c r="J916" s="1702"/>
    </row>
    <row r="917" spans="1:10" s="1906" customFormat="1" ht="17.100000000000001" customHeight="1">
      <c r="A917" s="1923"/>
      <c r="B917" s="1922"/>
      <c r="C917" s="4507" t="s">
        <v>1126</v>
      </c>
      <c r="D917" s="4507"/>
      <c r="E917" s="2871">
        <f>SUM(E918:E924)</f>
        <v>4332952</v>
      </c>
      <c r="F917" s="2871">
        <f>SUM(F918:F924)</f>
        <v>6926890</v>
      </c>
      <c r="G917" s="2870">
        <f>SUM(G918:G924)</f>
        <v>5106600</v>
      </c>
      <c r="H917" s="3111">
        <f t="shared" si="62"/>
        <v>0.73721395893395159</v>
      </c>
      <c r="J917" s="1702"/>
    </row>
    <row r="918" spans="1:10" s="1906" customFormat="1" ht="17.25" customHeight="1">
      <c r="A918" s="1923"/>
      <c r="B918" s="1922"/>
      <c r="C918" s="3141" t="s">
        <v>546</v>
      </c>
      <c r="D918" s="3140" t="s">
        <v>1023</v>
      </c>
      <c r="E918" s="2871">
        <v>3069952</v>
      </c>
      <c r="F918" s="2871">
        <v>3659189</v>
      </c>
      <c r="G918" s="2870">
        <f>2996000+728300</f>
        <v>3724300</v>
      </c>
      <c r="H918" s="3111">
        <f t="shared" si="62"/>
        <v>1.0177938335516421</v>
      </c>
      <c r="J918" s="1702" t="s">
        <v>1324</v>
      </c>
    </row>
    <row r="919" spans="1:10" s="1906" customFormat="1" ht="17.100000000000001" hidden="1" customHeight="1">
      <c r="A919" s="1923"/>
      <c r="B919" s="1922"/>
      <c r="C919" s="3141" t="s">
        <v>506</v>
      </c>
      <c r="D919" s="3140" t="s">
        <v>1023</v>
      </c>
      <c r="E919" s="2871">
        <v>0</v>
      </c>
      <c r="F919" s="2871">
        <v>2080545</v>
      </c>
      <c r="G919" s="2870">
        <v>0</v>
      </c>
      <c r="H919" s="3111">
        <f t="shared" si="62"/>
        <v>0</v>
      </c>
      <c r="J919" s="1702"/>
    </row>
    <row r="920" spans="1:10" s="1906" customFormat="1" ht="17.100000000000001" hidden="1" customHeight="1">
      <c r="A920" s="1923"/>
      <c r="B920" s="1922"/>
      <c r="C920" s="3141" t="s">
        <v>505</v>
      </c>
      <c r="D920" s="3140" t="s">
        <v>1023</v>
      </c>
      <c r="E920" s="2871">
        <v>0</v>
      </c>
      <c r="F920" s="2871">
        <v>367156</v>
      </c>
      <c r="G920" s="2870">
        <v>0</v>
      </c>
      <c r="H920" s="3111">
        <f t="shared" si="62"/>
        <v>0</v>
      </c>
      <c r="J920" s="1702"/>
    </row>
    <row r="921" spans="1:10" s="1906" customFormat="1" ht="17.100000000000001" customHeight="1">
      <c r="A921" s="1923"/>
      <c r="B921" s="4306"/>
      <c r="C921" s="3141" t="s">
        <v>553</v>
      </c>
      <c r="D921" s="3140" t="s">
        <v>1072</v>
      </c>
      <c r="E921" s="2871">
        <v>1213000</v>
      </c>
      <c r="F921" s="2871">
        <v>770000</v>
      </c>
      <c r="G921" s="2870">
        <f>1200000+36300+100000</f>
        <v>1336300</v>
      </c>
      <c r="H921" s="3111">
        <f t="shared" si="62"/>
        <v>1.7354545454545454</v>
      </c>
      <c r="J921" s="1702" t="s">
        <v>1323</v>
      </c>
    </row>
    <row r="922" spans="1:10" s="1906" customFormat="1" ht="17.100000000000001" customHeight="1">
      <c r="A922" s="1923"/>
      <c r="B922" s="4306"/>
      <c r="C922" s="3141" t="s">
        <v>504</v>
      </c>
      <c r="D922" s="3140" t="s">
        <v>1072</v>
      </c>
      <c r="E922" s="2871"/>
      <c r="F922" s="2871">
        <v>0</v>
      </c>
      <c r="G922" s="2870">
        <v>38769</v>
      </c>
      <c r="H922" s="3111"/>
      <c r="J922" s="1702" t="s">
        <v>1121</v>
      </c>
    </row>
    <row r="923" spans="1:10" s="1906" customFormat="1" ht="17.100000000000001" hidden="1" customHeight="1">
      <c r="A923" s="1923"/>
      <c r="B923" s="4306"/>
      <c r="C923" s="3141" t="s">
        <v>500</v>
      </c>
      <c r="D923" s="3140" t="s">
        <v>1072</v>
      </c>
      <c r="E923" s="2871">
        <v>42500</v>
      </c>
      <c r="F923" s="2871">
        <v>42500</v>
      </c>
      <c r="G923" s="2870">
        <v>0</v>
      </c>
      <c r="H923" s="3111">
        <f>G923/F923</f>
        <v>0</v>
      </c>
      <c r="J923" s="1702"/>
    </row>
    <row r="924" spans="1:10" s="1906" customFormat="1" ht="17.100000000000001" customHeight="1">
      <c r="A924" s="1923"/>
      <c r="B924" s="4306"/>
      <c r="C924" s="3154" t="s">
        <v>569</v>
      </c>
      <c r="D924" s="3153" t="s">
        <v>1072</v>
      </c>
      <c r="E924" s="2871">
        <v>7500</v>
      </c>
      <c r="F924" s="2871">
        <v>7500</v>
      </c>
      <c r="G924" s="2870">
        <v>7231</v>
      </c>
      <c r="H924" s="3111">
        <f>G924/F924</f>
        <v>0.96413333333333329</v>
      </c>
      <c r="J924" s="1702" t="s">
        <v>1121</v>
      </c>
    </row>
    <row r="925" spans="1:10" s="1906" customFormat="1" ht="59.25" hidden="1" customHeight="1">
      <c r="A925" s="1923"/>
      <c r="B925" s="4306"/>
      <c r="C925" s="2507" t="s">
        <v>1322</v>
      </c>
      <c r="D925" s="2565" t="s">
        <v>1135</v>
      </c>
      <c r="E925" s="2871">
        <v>0</v>
      </c>
      <c r="F925" s="2871"/>
      <c r="G925" s="2870"/>
      <c r="H925" s="3111" t="e">
        <f>G925/F925</f>
        <v>#DIV/0!</v>
      </c>
      <c r="J925" s="1702"/>
    </row>
    <row r="926" spans="1:10" s="1906" customFormat="1" ht="15.75" customHeight="1">
      <c r="A926" s="1923"/>
      <c r="B926" s="4436"/>
      <c r="C926" s="3138"/>
      <c r="D926" s="2559"/>
      <c r="E926" s="2558"/>
      <c r="F926" s="2871"/>
      <c r="G926" s="2870"/>
      <c r="H926" s="3111"/>
      <c r="J926" s="1702"/>
    </row>
    <row r="927" spans="1:10" s="1906" customFormat="1" ht="20.25" customHeight="1">
      <c r="A927" s="1923"/>
      <c r="B927" s="4436"/>
      <c r="C927" s="4480" t="s">
        <v>1024</v>
      </c>
      <c r="D927" s="4508"/>
      <c r="E927" s="3137">
        <f>SUM(E928:E935)</f>
        <v>421952</v>
      </c>
      <c r="F927" s="3137">
        <f>SUM(F928:F935)</f>
        <v>3171397</v>
      </c>
      <c r="G927" s="3136">
        <f>SUM(G928:G935)</f>
        <v>46000</v>
      </c>
      <c r="H927" s="3142">
        <f t="shared" ref="H927:H932" si="63">G927/F927</f>
        <v>1.4504648897630918E-2</v>
      </c>
      <c r="J927" s="1702"/>
    </row>
    <row r="928" spans="1:10" s="1906" customFormat="1" ht="17.100000000000001" hidden="1" customHeight="1">
      <c r="A928" s="1923"/>
      <c r="B928" s="4436"/>
      <c r="C928" s="3141" t="s">
        <v>546</v>
      </c>
      <c r="D928" s="3140" t="s">
        <v>1023</v>
      </c>
      <c r="E928" s="2871">
        <v>371952</v>
      </c>
      <c r="F928" s="2871">
        <v>673696</v>
      </c>
      <c r="G928" s="3152">
        <v>0</v>
      </c>
      <c r="H928" s="3111">
        <f t="shared" si="63"/>
        <v>0</v>
      </c>
      <c r="J928" s="1702"/>
    </row>
    <row r="929" spans="1:10" s="1906" customFormat="1" ht="17.100000000000001" hidden="1" customHeight="1">
      <c r="A929" s="1923"/>
      <c r="B929" s="4436"/>
      <c r="C929" s="3141" t="s">
        <v>506</v>
      </c>
      <c r="D929" s="3140" t="s">
        <v>1023</v>
      </c>
      <c r="E929" s="2871">
        <v>0</v>
      </c>
      <c r="F929" s="2871"/>
      <c r="G929" s="3152"/>
      <c r="H929" s="3111" t="e">
        <f t="shared" si="63"/>
        <v>#DIV/0!</v>
      </c>
      <c r="J929" s="1702"/>
    </row>
    <row r="930" spans="1:10" s="1906" customFormat="1" ht="17.100000000000001" hidden="1" customHeight="1">
      <c r="A930" s="1923"/>
      <c r="B930" s="4436"/>
      <c r="C930" s="3141" t="s">
        <v>505</v>
      </c>
      <c r="D930" s="3140" t="s">
        <v>1023</v>
      </c>
      <c r="E930" s="2871">
        <v>0</v>
      </c>
      <c r="F930" s="2871"/>
      <c r="G930" s="3152"/>
      <c r="H930" s="3111" t="e">
        <f t="shared" si="63"/>
        <v>#DIV/0!</v>
      </c>
      <c r="J930" s="1702"/>
    </row>
    <row r="931" spans="1:10" s="1906" customFormat="1" ht="17.100000000000001" hidden="1" customHeight="1">
      <c r="A931" s="1923"/>
      <c r="B931" s="4436"/>
      <c r="C931" s="3156" t="s">
        <v>506</v>
      </c>
      <c r="D931" s="3140" t="s">
        <v>1023</v>
      </c>
      <c r="E931" s="2871">
        <v>0</v>
      </c>
      <c r="F931" s="2871">
        <v>2080545</v>
      </c>
      <c r="G931" s="3152">
        <v>0</v>
      </c>
      <c r="H931" s="3111">
        <f t="shared" si="63"/>
        <v>0</v>
      </c>
      <c r="J931" s="1702"/>
    </row>
    <row r="932" spans="1:10" s="1906" customFormat="1" ht="17.100000000000001" hidden="1" customHeight="1">
      <c r="A932" s="1923"/>
      <c r="B932" s="4436"/>
      <c r="C932" s="3156" t="s">
        <v>505</v>
      </c>
      <c r="D932" s="3140" t="s">
        <v>1023</v>
      </c>
      <c r="E932" s="2871">
        <v>0</v>
      </c>
      <c r="F932" s="2871">
        <v>367156</v>
      </c>
      <c r="G932" s="3152">
        <v>0</v>
      </c>
      <c r="H932" s="3111">
        <f t="shared" si="63"/>
        <v>0</v>
      </c>
      <c r="J932" s="1702"/>
    </row>
    <row r="933" spans="1:10" s="1906" customFormat="1" ht="17.100000000000001" customHeight="1">
      <c r="A933" s="1923"/>
      <c r="B933" s="4436"/>
      <c r="C933" s="3156" t="s">
        <v>504</v>
      </c>
      <c r="D933" s="3155" t="s">
        <v>1072</v>
      </c>
      <c r="E933" s="2871"/>
      <c r="F933" s="2871">
        <v>0</v>
      </c>
      <c r="G933" s="3152">
        <v>38769</v>
      </c>
      <c r="H933" s="3111"/>
      <c r="J933" s="1702" t="s">
        <v>1121</v>
      </c>
    </row>
    <row r="934" spans="1:10" s="1906" customFormat="1" ht="17.100000000000001" hidden="1" customHeight="1">
      <c r="A934" s="1923"/>
      <c r="B934" s="4436"/>
      <c r="C934" s="3156" t="s">
        <v>500</v>
      </c>
      <c r="D934" s="3155" t="s">
        <v>1072</v>
      </c>
      <c r="E934" s="2871">
        <v>42500</v>
      </c>
      <c r="F934" s="2871">
        <v>42500</v>
      </c>
      <c r="G934" s="3152">
        <v>0</v>
      </c>
      <c r="H934" s="3111">
        <f t="shared" ref="H934:H947" si="64">G934/F934</f>
        <v>0</v>
      </c>
      <c r="J934" s="1702"/>
    </row>
    <row r="935" spans="1:10" s="1906" customFormat="1" ht="17.100000000000001" customHeight="1" thickBot="1">
      <c r="A935" s="1923"/>
      <c r="B935" s="4436"/>
      <c r="C935" s="3154" t="s">
        <v>569</v>
      </c>
      <c r="D935" s="3153" t="s">
        <v>1072</v>
      </c>
      <c r="E935" s="2871">
        <v>7500</v>
      </c>
      <c r="F935" s="2871">
        <v>7500</v>
      </c>
      <c r="G935" s="3152">
        <v>7231</v>
      </c>
      <c r="H935" s="3111">
        <f t="shared" si="64"/>
        <v>0.96413333333333329</v>
      </c>
      <c r="J935" s="1702" t="s">
        <v>1121</v>
      </c>
    </row>
    <row r="936" spans="1:10" ht="54" hidden="1" customHeight="1" thickBot="1">
      <c r="A936" s="1836"/>
      <c r="B936" s="2950"/>
      <c r="C936" s="3151" t="s">
        <v>1322</v>
      </c>
      <c r="D936" s="2001" t="s">
        <v>1135</v>
      </c>
      <c r="E936" s="2682">
        <v>0</v>
      </c>
      <c r="F936" s="2682"/>
      <c r="G936" s="2681"/>
      <c r="H936" s="3117" t="e">
        <f t="shared" si="64"/>
        <v>#DIV/0!</v>
      </c>
    </row>
    <row r="937" spans="1:10" ht="17.100000000000001" hidden="1" customHeight="1" thickBot="1">
      <c r="A937" s="1836"/>
      <c r="B937" s="1829" t="s">
        <v>1321</v>
      </c>
      <c r="C937" s="1828"/>
      <c r="D937" s="1827" t="s">
        <v>1320</v>
      </c>
      <c r="E937" s="2181">
        <v>0</v>
      </c>
      <c r="F937" s="2682"/>
      <c r="G937" s="2681"/>
      <c r="H937" s="3117" t="e">
        <f t="shared" si="64"/>
        <v>#DIV/0!</v>
      </c>
    </row>
    <row r="938" spans="1:10" ht="17.100000000000001" hidden="1" customHeight="1" thickBot="1">
      <c r="A938" s="1836"/>
      <c r="B938" s="2950"/>
      <c r="C938" s="4278" t="s">
        <v>541</v>
      </c>
      <c r="D938" s="4278"/>
      <c r="E938" s="2514">
        <v>0</v>
      </c>
      <c r="F938" s="2682"/>
      <c r="G938" s="2681"/>
      <c r="H938" s="3117" t="e">
        <f t="shared" si="64"/>
        <v>#DIV/0!</v>
      </c>
    </row>
    <row r="939" spans="1:10" ht="17.100000000000001" hidden="1" customHeight="1" thickBot="1">
      <c r="A939" s="1836"/>
      <c r="B939" s="2950"/>
      <c r="C939" s="4509" t="s">
        <v>943</v>
      </c>
      <c r="D939" s="4509"/>
      <c r="E939" s="3150">
        <v>0</v>
      </c>
      <c r="F939" s="2682"/>
      <c r="G939" s="2681"/>
      <c r="H939" s="3117" t="e">
        <f t="shared" si="64"/>
        <v>#DIV/0!</v>
      </c>
    </row>
    <row r="940" spans="1:10" ht="39" hidden="1" customHeight="1" thickBot="1">
      <c r="A940" s="1836"/>
      <c r="B940" s="2950"/>
      <c r="C940" s="2174" t="s">
        <v>91</v>
      </c>
      <c r="D940" s="3149" t="s">
        <v>942</v>
      </c>
      <c r="E940" s="2812">
        <v>0</v>
      </c>
      <c r="F940" s="2682"/>
      <c r="G940" s="2681"/>
      <c r="H940" s="3148" t="e">
        <f t="shared" si="64"/>
        <v>#DIV/0!</v>
      </c>
    </row>
    <row r="941" spans="1:10" s="1906" customFormat="1" ht="17.100000000000001" customHeight="1" thickBot="1">
      <c r="A941" s="1923"/>
      <c r="B941" s="1971" t="s">
        <v>1319</v>
      </c>
      <c r="C941" s="1970"/>
      <c r="D941" s="1969" t="s">
        <v>187</v>
      </c>
      <c r="E941" s="1968">
        <f t="shared" ref="E941:G942" si="65">SUM(E942)</f>
        <v>20000</v>
      </c>
      <c r="F941" s="1968">
        <f t="shared" si="65"/>
        <v>20000</v>
      </c>
      <c r="G941" s="1967">
        <f t="shared" si="65"/>
        <v>20000</v>
      </c>
      <c r="H941" s="1966">
        <f t="shared" si="64"/>
        <v>1</v>
      </c>
      <c r="J941" s="1702"/>
    </row>
    <row r="942" spans="1:10" s="1906" customFormat="1" ht="17.100000000000001" customHeight="1">
      <c r="A942" s="1923"/>
      <c r="B942" s="4129"/>
      <c r="C942" s="4279" t="s">
        <v>541</v>
      </c>
      <c r="D942" s="4279"/>
      <c r="E942" s="2509">
        <f t="shared" si="65"/>
        <v>20000</v>
      </c>
      <c r="F942" s="2509">
        <f t="shared" si="65"/>
        <v>20000</v>
      </c>
      <c r="G942" s="1964">
        <f t="shared" si="65"/>
        <v>20000</v>
      </c>
      <c r="H942" s="2508">
        <f t="shared" si="64"/>
        <v>1</v>
      </c>
      <c r="J942" s="1702" t="s">
        <v>1315</v>
      </c>
    </row>
    <row r="943" spans="1:10" s="1906" customFormat="1" ht="17.100000000000001" customHeight="1">
      <c r="A943" s="1923"/>
      <c r="B943" s="4129"/>
      <c r="C943" s="4497" t="s">
        <v>967</v>
      </c>
      <c r="D943" s="4497"/>
      <c r="E943" s="2871">
        <f>SUM(E944,E949)</f>
        <v>20000</v>
      </c>
      <c r="F943" s="2871">
        <f>SUM(F944,F949)</f>
        <v>20000</v>
      </c>
      <c r="G943" s="2870">
        <f>SUM(G944,G949)</f>
        <v>20000</v>
      </c>
      <c r="H943" s="3111">
        <f t="shared" si="64"/>
        <v>1</v>
      </c>
      <c r="J943" s="1702"/>
    </row>
    <row r="944" spans="1:10" s="1906" customFormat="1" ht="17.100000000000001" customHeight="1">
      <c r="A944" s="1923"/>
      <c r="B944" s="4129"/>
      <c r="C944" s="4498" t="s">
        <v>966</v>
      </c>
      <c r="D944" s="4498"/>
      <c r="E944" s="3143">
        <f>SUM(E945:E947)</f>
        <v>11270</v>
      </c>
      <c r="F944" s="3143">
        <f>SUM(F945:F947)</f>
        <v>11270</v>
      </c>
      <c r="G944" s="3046">
        <f>SUM(G945:G947)</f>
        <v>11270</v>
      </c>
      <c r="H944" s="3142">
        <f t="shared" si="64"/>
        <v>1</v>
      </c>
      <c r="J944" s="1702"/>
    </row>
    <row r="945" spans="1:10" s="1906" customFormat="1" ht="17.100000000000001" customHeight="1">
      <c r="A945" s="1923"/>
      <c r="B945" s="4129"/>
      <c r="C945" s="3141" t="s">
        <v>965</v>
      </c>
      <c r="D945" s="3140" t="s">
        <v>964</v>
      </c>
      <c r="E945" s="2871">
        <v>700</v>
      </c>
      <c r="F945" s="2871">
        <v>700</v>
      </c>
      <c r="G945" s="2870">
        <v>700</v>
      </c>
      <c r="H945" s="3111">
        <f t="shared" si="64"/>
        <v>1</v>
      </c>
      <c r="J945" s="1702"/>
    </row>
    <row r="946" spans="1:10" s="1906" customFormat="1" ht="16.5" customHeight="1">
      <c r="A946" s="1923"/>
      <c r="B946" s="4129"/>
      <c r="C946" s="3141" t="s">
        <v>963</v>
      </c>
      <c r="D946" s="3140" t="s">
        <v>962</v>
      </c>
      <c r="E946" s="2871">
        <v>140</v>
      </c>
      <c r="F946" s="2871">
        <v>140</v>
      </c>
      <c r="G946" s="2870">
        <v>140</v>
      </c>
      <c r="H946" s="3111">
        <f t="shared" si="64"/>
        <v>1</v>
      </c>
      <c r="J946" s="1702"/>
    </row>
    <row r="947" spans="1:10" s="1906" customFormat="1" ht="17.100000000000001" customHeight="1">
      <c r="A947" s="1923"/>
      <c r="B947" s="1922"/>
      <c r="C947" s="3141" t="s">
        <v>974</v>
      </c>
      <c r="D947" s="3140" t="s">
        <v>973</v>
      </c>
      <c r="E947" s="2871">
        <v>10430</v>
      </c>
      <c r="F947" s="2871">
        <v>10430</v>
      </c>
      <c r="G947" s="2870">
        <v>10430</v>
      </c>
      <c r="H947" s="3111">
        <f t="shared" si="64"/>
        <v>1</v>
      </c>
      <c r="J947" s="1702"/>
    </row>
    <row r="948" spans="1:10" s="1906" customFormat="1" ht="13.5" customHeight="1">
      <c r="A948" s="1923"/>
      <c r="B948" s="1922"/>
      <c r="C948" s="3138"/>
      <c r="D948" s="3147"/>
      <c r="E948" s="3138"/>
      <c r="F948" s="2871"/>
      <c r="G948" s="2870"/>
      <c r="H948" s="3111"/>
      <c r="J948" s="1702"/>
    </row>
    <row r="949" spans="1:10" s="1906" customFormat="1" ht="17.100000000000001" customHeight="1">
      <c r="A949" s="1923"/>
      <c r="B949" s="1922"/>
      <c r="C949" s="4480" t="s">
        <v>961</v>
      </c>
      <c r="D949" s="4480"/>
      <c r="E949" s="3137">
        <f>SUM(E950:E951)</f>
        <v>8730</v>
      </c>
      <c r="F949" s="3137">
        <f>SUM(F950:F951)</f>
        <v>8730</v>
      </c>
      <c r="G949" s="3136">
        <f>SUM(G950:G951)</f>
        <v>8730</v>
      </c>
      <c r="H949" s="3142">
        <f t="shared" ref="H949:H958" si="66">G949/F949</f>
        <v>1</v>
      </c>
      <c r="J949" s="1702"/>
    </row>
    <row r="950" spans="1:10" s="1906" customFormat="1" ht="17.100000000000001" customHeight="1">
      <c r="A950" s="1923"/>
      <c r="B950" s="1922"/>
      <c r="C950" s="3146" t="s">
        <v>613</v>
      </c>
      <c r="D950" s="3145" t="s">
        <v>960</v>
      </c>
      <c r="E950" s="3108">
        <v>3500</v>
      </c>
      <c r="F950" s="2871">
        <v>3500</v>
      </c>
      <c r="G950" s="2870">
        <v>3500</v>
      </c>
      <c r="H950" s="3111">
        <f t="shared" si="66"/>
        <v>1</v>
      </c>
      <c r="J950" s="1702"/>
    </row>
    <row r="951" spans="1:10" s="1906" customFormat="1" ht="17.100000000000001" customHeight="1" thickBot="1">
      <c r="A951" s="1922"/>
      <c r="B951" s="1912"/>
      <c r="C951" s="2286" t="s">
        <v>959</v>
      </c>
      <c r="D951" s="3144" t="s">
        <v>958</v>
      </c>
      <c r="E951" s="2857">
        <v>5230</v>
      </c>
      <c r="F951" s="2857">
        <v>5230</v>
      </c>
      <c r="G951" s="1915">
        <v>5230</v>
      </c>
      <c r="H951" s="2856">
        <f t="shared" si="66"/>
        <v>1</v>
      </c>
      <c r="J951" s="1702"/>
    </row>
    <row r="952" spans="1:10" s="1906" customFormat="1" ht="17.100000000000001" customHeight="1" thickBot="1">
      <c r="A952" s="1923"/>
      <c r="B952" s="2025" t="s">
        <v>576</v>
      </c>
      <c r="C952" s="2024"/>
      <c r="D952" s="2023" t="s">
        <v>188</v>
      </c>
      <c r="E952" s="2031">
        <f>SUM(E953,E1012)</f>
        <v>21239207</v>
      </c>
      <c r="F952" s="2031">
        <f>SUM(F953,F1012)</f>
        <v>26134136</v>
      </c>
      <c r="G952" s="2030">
        <f>SUM(G953,G1012)</f>
        <v>20714946</v>
      </c>
      <c r="H952" s="2029">
        <f t="shared" si="66"/>
        <v>0.79263940464685723</v>
      </c>
      <c r="J952" s="1702"/>
    </row>
    <row r="953" spans="1:10" s="1906" customFormat="1" ht="17.100000000000001" customHeight="1">
      <c r="A953" s="1923"/>
      <c r="B953" s="2158"/>
      <c r="C953" s="4279" t="s">
        <v>944</v>
      </c>
      <c r="D953" s="4279"/>
      <c r="E953" s="2509">
        <f>SUM(E954,E970,E974)</f>
        <v>20804438</v>
      </c>
      <c r="F953" s="2509">
        <f>SUM(F954,F970,F974)</f>
        <v>25864284</v>
      </c>
      <c r="G953" s="1964">
        <f>SUM(G954,G970,G974)</f>
        <v>20672946</v>
      </c>
      <c r="H953" s="2508">
        <f t="shared" si="66"/>
        <v>0.7992854547993673</v>
      </c>
      <c r="J953" s="1702"/>
    </row>
    <row r="954" spans="1:10" s="1906" customFormat="1" ht="17.100000000000001" customHeight="1">
      <c r="A954" s="1923"/>
      <c r="B954" s="2158"/>
      <c r="C954" s="4497" t="s">
        <v>967</v>
      </c>
      <c r="D954" s="4497"/>
      <c r="E954" s="2871">
        <f>SUM(E955,E960)</f>
        <v>6177218</v>
      </c>
      <c r="F954" s="2871">
        <f>SUM(F955,F960)</f>
        <v>6506999</v>
      </c>
      <c r="G954" s="2870">
        <f>SUM(G955,G960)</f>
        <v>16372946</v>
      </c>
      <c r="H954" s="3111">
        <f t="shared" si="66"/>
        <v>2.5162053966813271</v>
      </c>
      <c r="J954" s="1702"/>
    </row>
    <row r="955" spans="1:10" s="1906" customFormat="1" ht="17.100000000000001" customHeight="1">
      <c r="A955" s="1923"/>
      <c r="B955" s="2158"/>
      <c r="C955" s="4498" t="s">
        <v>966</v>
      </c>
      <c r="D955" s="4498"/>
      <c r="E955" s="3143">
        <f>SUM(E956:E958)</f>
        <v>66400</v>
      </c>
      <c r="F955" s="3143">
        <f>SUM(F956:F958)</f>
        <v>66400</v>
      </c>
      <c r="G955" s="3046">
        <f>SUM(G956:G958)</f>
        <v>76360</v>
      </c>
      <c r="H955" s="3142">
        <f t="shared" si="66"/>
        <v>1.1499999999999999</v>
      </c>
      <c r="J955" s="1702"/>
    </row>
    <row r="956" spans="1:10" s="1906" customFormat="1" ht="17.100000000000001" customHeight="1">
      <c r="A956" s="1923"/>
      <c r="B956" s="2158"/>
      <c r="C956" s="3141" t="s">
        <v>965</v>
      </c>
      <c r="D956" s="3140" t="s">
        <v>964</v>
      </c>
      <c r="E956" s="2871">
        <v>600</v>
      </c>
      <c r="F956" s="2871">
        <v>600</v>
      </c>
      <c r="G956" s="2870">
        <v>600</v>
      </c>
      <c r="H956" s="3111">
        <f t="shared" si="66"/>
        <v>1</v>
      </c>
      <c r="J956" s="1702" t="s">
        <v>1028</v>
      </c>
    </row>
    <row r="957" spans="1:10" s="1906" customFormat="1" ht="16.5" customHeight="1">
      <c r="A957" s="1923"/>
      <c r="B957" s="2158"/>
      <c r="C957" s="3141" t="s">
        <v>963</v>
      </c>
      <c r="D957" s="3140" t="s">
        <v>962</v>
      </c>
      <c r="E957" s="2871">
        <v>300</v>
      </c>
      <c r="F957" s="2871">
        <v>300</v>
      </c>
      <c r="G957" s="2870">
        <v>300</v>
      </c>
      <c r="H957" s="3111">
        <f t="shared" si="66"/>
        <v>1</v>
      </c>
      <c r="J957" s="1702" t="s">
        <v>1028</v>
      </c>
    </row>
    <row r="958" spans="1:10" s="1906" customFormat="1" ht="17.100000000000001" customHeight="1">
      <c r="A958" s="1923"/>
      <c r="B958" s="2158"/>
      <c r="C958" s="3141" t="s">
        <v>974</v>
      </c>
      <c r="D958" s="3140" t="s">
        <v>973</v>
      </c>
      <c r="E958" s="2871">
        <v>65500</v>
      </c>
      <c r="F958" s="2871">
        <v>65500</v>
      </c>
      <c r="G958" s="2870">
        <f>17960+57500</f>
        <v>75460</v>
      </c>
      <c r="H958" s="3111">
        <f t="shared" si="66"/>
        <v>1.1520610687022901</v>
      </c>
      <c r="J958" s="1702" t="s">
        <v>1318</v>
      </c>
    </row>
    <row r="959" spans="1:10" s="1906" customFormat="1" ht="15" customHeight="1">
      <c r="A959" s="1922"/>
      <c r="B959" s="2158"/>
      <c r="C959" s="3138"/>
      <c r="D959" s="3139"/>
      <c r="E959" s="3138"/>
      <c r="F959" s="2871"/>
      <c r="G959" s="2870"/>
      <c r="H959" s="3111"/>
      <c r="J959" s="1702"/>
    </row>
    <row r="960" spans="1:10" s="1906" customFormat="1" ht="17.100000000000001" customHeight="1">
      <c r="A960" s="2033"/>
      <c r="B960" s="2014"/>
      <c r="C960" s="4499" t="s">
        <v>961</v>
      </c>
      <c r="D960" s="4500"/>
      <c r="E960" s="3137">
        <f>SUM(E961:E967)</f>
        <v>6110818</v>
      </c>
      <c r="F960" s="3137">
        <f>SUM(F961:F968)</f>
        <v>6440599</v>
      </c>
      <c r="G960" s="3136">
        <f>SUM(G961:G968)</f>
        <v>16296586</v>
      </c>
      <c r="H960" s="3135">
        <f t="shared" ref="H960:H968" si="67">G960/F960</f>
        <v>2.5302904279555363</v>
      </c>
      <c r="J960" s="1702"/>
    </row>
    <row r="961" spans="1:10" s="1906" customFormat="1" ht="17.100000000000001" customHeight="1">
      <c r="A961" s="2033"/>
      <c r="B961" s="2014"/>
      <c r="C961" s="3134" t="s">
        <v>1010</v>
      </c>
      <c r="D961" s="3133" t="s">
        <v>1009</v>
      </c>
      <c r="E961" s="2871">
        <v>91643</v>
      </c>
      <c r="F961" s="2871">
        <v>111384</v>
      </c>
      <c r="G961" s="2870">
        <f>5923+30000+61000</f>
        <v>96923</v>
      </c>
      <c r="H961" s="3111">
        <f t="shared" si="67"/>
        <v>0.87016986281692166</v>
      </c>
      <c r="J961" s="1702" t="s">
        <v>1317</v>
      </c>
    </row>
    <row r="962" spans="1:10" s="1906" customFormat="1" ht="17.100000000000001" customHeight="1">
      <c r="A962" s="2033"/>
      <c r="B962" s="2014"/>
      <c r="C962" s="3128" t="s">
        <v>613</v>
      </c>
      <c r="D962" s="3129" t="s">
        <v>960</v>
      </c>
      <c r="E962" s="2871">
        <v>480261</v>
      </c>
      <c r="F962" s="2871">
        <v>967961</v>
      </c>
      <c r="G962" s="2870">
        <f>57179+122000+10000+29701+414195</f>
        <v>633075</v>
      </c>
      <c r="H962" s="3111">
        <f t="shared" si="67"/>
        <v>0.6540294495336072</v>
      </c>
      <c r="J962" s="1702" t="s">
        <v>1316</v>
      </c>
    </row>
    <row r="963" spans="1:10" s="1906" customFormat="1" ht="17.100000000000001" customHeight="1">
      <c r="A963" s="1981"/>
      <c r="B963" s="2014"/>
      <c r="C963" s="3132" t="s">
        <v>1002</v>
      </c>
      <c r="D963" s="3131" t="s">
        <v>1001</v>
      </c>
      <c r="E963" s="2871">
        <v>25000</v>
      </c>
      <c r="F963" s="2871">
        <v>25000</v>
      </c>
      <c r="G963" s="2870">
        <v>25000</v>
      </c>
      <c r="H963" s="3111">
        <f t="shared" si="67"/>
        <v>1</v>
      </c>
      <c r="J963" s="1702" t="s">
        <v>1315</v>
      </c>
    </row>
    <row r="964" spans="1:10" s="1906" customFormat="1" ht="17.100000000000001" customHeight="1">
      <c r="A964" s="2033"/>
      <c r="B964" s="2014"/>
      <c r="C964" s="3128" t="s">
        <v>959</v>
      </c>
      <c r="D964" s="3127" t="s">
        <v>958</v>
      </c>
      <c r="E964" s="2496">
        <v>5418914</v>
      </c>
      <c r="F964" s="2871">
        <v>5222134</v>
      </c>
      <c r="G964" s="2870">
        <f>35535+560923+110000+178000+13877130+200000</f>
        <v>14961588</v>
      </c>
      <c r="H964" s="3111">
        <f t="shared" si="67"/>
        <v>2.8650333369461602</v>
      </c>
      <c r="J964" s="1702" t="s">
        <v>1316</v>
      </c>
    </row>
    <row r="965" spans="1:10" s="1906" customFormat="1" ht="17.25" customHeight="1">
      <c r="A965" s="2033"/>
      <c r="B965" s="2014"/>
      <c r="C965" s="3130" t="s">
        <v>1123</v>
      </c>
      <c r="D965" s="3129" t="s">
        <v>1119</v>
      </c>
      <c r="E965" s="2871">
        <v>25000</v>
      </c>
      <c r="F965" s="2871">
        <v>25000</v>
      </c>
      <c r="G965" s="2870">
        <v>30000</v>
      </c>
      <c r="H965" s="3111">
        <f t="shared" si="67"/>
        <v>1.2</v>
      </c>
      <c r="J965" s="1702" t="s">
        <v>1028</v>
      </c>
    </row>
    <row r="966" spans="1:10" s="1906" customFormat="1" ht="17.100000000000001" customHeight="1">
      <c r="A966" s="2033"/>
      <c r="B966" s="2014"/>
      <c r="C966" s="3128" t="s">
        <v>996</v>
      </c>
      <c r="D966" s="3127" t="s">
        <v>995</v>
      </c>
      <c r="E966" s="2871">
        <v>50000</v>
      </c>
      <c r="F966" s="2871">
        <v>67650</v>
      </c>
      <c r="G966" s="2870">
        <v>500000</v>
      </c>
      <c r="H966" s="3111">
        <f t="shared" si="67"/>
        <v>7.390983000739098</v>
      </c>
      <c r="J966" s="1702" t="s">
        <v>1315</v>
      </c>
    </row>
    <row r="967" spans="1:10" s="1906" customFormat="1" ht="17.100000000000001" customHeight="1">
      <c r="A967" s="2033"/>
      <c r="B967" s="2014"/>
      <c r="C967" s="3116" t="s">
        <v>990</v>
      </c>
      <c r="D967" s="3126" t="s">
        <v>989</v>
      </c>
      <c r="E967" s="2871">
        <v>20000</v>
      </c>
      <c r="F967" s="2871">
        <v>20000</v>
      </c>
      <c r="G967" s="2870">
        <v>50000</v>
      </c>
      <c r="H967" s="3111">
        <f t="shared" si="67"/>
        <v>2.5</v>
      </c>
      <c r="J967" s="1702" t="s">
        <v>1285</v>
      </c>
    </row>
    <row r="968" spans="1:10" s="1906" customFormat="1" ht="17.100000000000001" hidden="1" customHeight="1">
      <c r="A968" s="2033"/>
      <c r="B968" s="2014"/>
      <c r="C968" s="3125" t="s">
        <v>988</v>
      </c>
      <c r="D968" s="3124" t="s">
        <v>987</v>
      </c>
      <c r="E968" s="2871">
        <v>0</v>
      </c>
      <c r="F968" s="2871">
        <v>1470</v>
      </c>
      <c r="G968" s="2870">
        <v>0</v>
      </c>
      <c r="H968" s="3111">
        <f t="shared" si="67"/>
        <v>0</v>
      </c>
      <c r="J968" s="1702"/>
    </row>
    <row r="969" spans="1:10" s="1906" customFormat="1" ht="17.100000000000001" customHeight="1">
      <c r="A969" s="2033"/>
      <c r="B969" s="2014"/>
      <c r="C969" s="3123"/>
      <c r="D969" s="3123"/>
      <c r="E969" s="2871"/>
      <c r="F969" s="2871"/>
      <c r="G969" s="2870"/>
      <c r="H969" s="3111"/>
      <c r="J969" s="1702"/>
    </row>
    <row r="970" spans="1:10" s="1906" customFormat="1" ht="17.100000000000001" customHeight="1">
      <c r="A970" s="2033"/>
      <c r="B970" s="2874"/>
      <c r="C970" s="4483" t="s">
        <v>943</v>
      </c>
      <c r="D970" s="4484"/>
      <c r="E970" s="2496">
        <f>SUM(E971:E972)</f>
        <v>299800</v>
      </c>
      <c r="F970" s="2496">
        <f>SUM(F971:F972)</f>
        <v>323400</v>
      </c>
      <c r="G970" s="1929">
        <f>SUM(G971:G972)</f>
        <v>300000</v>
      </c>
      <c r="H970" s="3111">
        <f>G970/F970</f>
        <v>0.92764378478664189</v>
      </c>
      <c r="J970" s="1702"/>
    </row>
    <row r="971" spans="1:10" s="1906" customFormat="1" ht="40.5" customHeight="1">
      <c r="A971" s="2033"/>
      <c r="B971" s="2874"/>
      <c r="C971" s="3122" t="s">
        <v>89</v>
      </c>
      <c r="D971" s="3121" t="s">
        <v>1314</v>
      </c>
      <c r="E971" s="2871">
        <v>299800</v>
      </c>
      <c r="F971" s="2871">
        <v>299800</v>
      </c>
      <c r="G971" s="2870">
        <v>300000</v>
      </c>
      <c r="H971" s="3111">
        <f>G971/F971</f>
        <v>1.0006671114076051</v>
      </c>
      <c r="J971" s="1702" t="s">
        <v>1028</v>
      </c>
    </row>
    <row r="972" spans="1:10" s="1906" customFormat="1" ht="43.5" hidden="1" customHeight="1">
      <c r="A972" s="2033"/>
      <c r="B972" s="2874"/>
      <c r="C972" s="3100" t="s">
        <v>91</v>
      </c>
      <c r="D972" s="3120" t="s">
        <v>942</v>
      </c>
      <c r="E972" s="2871">
        <v>0</v>
      </c>
      <c r="F972" s="2871">
        <v>23600</v>
      </c>
      <c r="G972" s="2870">
        <v>0</v>
      </c>
      <c r="H972" s="3111">
        <f>G972/F972</f>
        <v>0</v>
      </c>
      <c r="J972" s="1702"/>
    </row>
    <row r="973" spans="1:10" ht="18" customHeight="1">
      <c r="A973" s="2373"/>
      <c r="B973" s="3118"/>
      <c r="C973" s="3118"/>
      <c r="D973" s="3119"/>
      <c r="E973" s="3118"/>
      <c r="F973" s="2682"/>
      <c r="G973" s="2681"/>
      <c r="H973" s="3117"/>
    </row>
    <row r="974" spans="1:10" s="1906" customFormat="1" ht="18" customHeight="1">
      <c r="A974" s="1923"/>
      <c r="B974" s="1995"/>
      <c r="C974" s="4485" t="s">
        <v>976</v>
      </c>
      <c r="D974" s="4486"/>
      <c r="E974" s="2871">
        <f>SUM(E978:E1010)</f>
        <v>14327420</v>
      </c>
      <c r="F974" s="2871">
        <f>SUM(F978:F1010)</f>
        <v>19033885</v>
      </c>
      <c r="G974" s="2870">
        <f>SUM(G978:G1010)</f>
        <v>4000000</v>
      </c>
      <c r="H974" s="3111">
        <f t="shared" ref="H974:H1010" si="68">G974/F974</f>
        <v>0.21015152713174426</v>
      </c>
      <c r="J974" s="1702"/>
    </row>
    <row r="975" spans="1:10" s="1906" customFormat="1" ht="61.5" hidden="1" customHeight="1">
      <c r="A975" s="1923"/>
      <c r="B975" s="1995"/>
      <c r="C975" s="3116" t="s">
        <v>480</v>
      </c>
      <c r="D975" s="3115" t="s">
        <v>1192</v>
      </c>
      <c r="E975" s="2871">
        <v>0</v>
      </c>
      <c r="F975" s="2871"/>
      <c r="G975" s="2870"/>
      <c r="H975" s="3111" t="e">
        <f t="shared" si="68"/>
        <v>#DIV/0!</v>
      </c>
      <c r="J975" s="1702"/>
    </row>
    <row r="976" spans="1:10" s="1906" customFormat="1" ht="58.5" hidden="1" customHeight="1">
      <c r="A976" s="1923"/>
      <c r="B976" s="1995"/>
      <c r="C976" s="3116" t="s">
        <v>157</v>
      </c>
      <c r="D976" s="3115" t="s">
        <v>1127</v>
      </c>
      <c r="E976" s="2871">
        <v>0</v>
      </c>
      <c r="F976" s="2871"/>
      <c r="G976" s="2870"/>
      <c r="H976" s="3111" t="e">
        <f t="shared" si="68"/>
        <v>#DIV/0!</v>
      </c>
      <c r="J976" s="1702"/>
    </row>
    <row r="977" spans="1:10" s="1906" customFormat="1" ht="18" hidden="1" customHeight="1">
      <c r="A977" s="1923"/>
      <c r="B977" s="1995"/>
      <c r="C977" s="3116" t="s">
        <v>346</v>
      </c>
      <c r="D977" s="3115" t="s">
        <v>1115</v>
      </c>
      <c r="E977" s="2871">
        <v>0</v>
      </c>
      <c r="F977" s="2871"/>
      <c r="G977" s="2870"/>
      <c r="H977" s="3111" t="e">
        <f t="shared" si="68"/>
        <v>#DIV/0!</v>
      </c>
      <c r="J977" s="1702"/>
    </row>
    <row r="978" spans="1:10" s="1906" customFormat="1" ht="18" customHeight="1">
      <c r="A978" s="1923"/>
      <c r="B978" s="1995"/>
      <c r="C978" s="3114" t="s">
        <v>462</v>
      </c>
      <c r="D978" s="3113" t="s">
        <v>1015</v>
      </c>
      <c r="E978" s="2871">
        <v>480000</v>
      </c>
      <c r="F978" s="2871">
        <v>480000</v>
      </c>
      <c r="G978" s="2870">
        <v>313486</v>
      </c>
      <c r="H978" s="3111">
        <f t="shared" si="68"/>
        <v>0.65309583333333332</v>
      </c>
      <c r="J978" s="1702"/>
    </row>
    <row r="979" spans="1:10" s="1906" customFormat="1" ht="18" hidden="1" customHeight="1">
      <c r="A979" s="1923"/>
      <c r="B979" s="1995"/>
      <c r="C979" s="3098" t="s">
        <v>479</v>
      </c>
      <c r="D979" s="3113" t="s">
        <v>1015</v>
      </c>
      <c r="E979" s="2871">
        <v>7105</v>
      </c>
      <c r="F979" s="2871">
        <v>7105</v>
      </c>
      <c r="G979" s="2870">
        <v>0</v>
      </c>
      <c r="H979" s="3111">
        <f t="shared" si="68"/>
        <v>0</v>
      </c>
      <c r="J979" s="1702"/>
    </row>
    <row r="980" spans="1:10" s="1906" customFormat="1" ht="18" hidden="1" customHeight="1">
      <c r="A980" s="1923"/>
      <c r="B980" s="1995"/>
      <c r="C980" s="3098" t="s">
        <v>461</v>
      </c>
      <c r="D980" s="3113" t="s">
        <v>1015</v>
      </c>
      <c r="E980" s="2871">
        <v>1254</v>
      </c>
      <c r="F980" s="2871">
        <v>1254</v>
      </c>
      <c r="G980" s="2870">
        <v>0</v>
      </c>
      <c r="H980" s="3111">
        <f t="shared" si="68"/>
        <v>0</v>
      </c>
      <c r="J980" s="1702"/>
    </row>
    <row r="981" spans="1:10" s="1906" customFormat="1" ht="18" customHeight="1" thickBot="1">
      <c r="A981" s="1922"/>
      <c r="B981" s="2158"/>
      <c r="C981" s="3098" t="s">
        <v>460</v>
      </c>
      <c r="D981" s="3112" t="s">
        <v>964</v>
      </c>
      <c r="E981" s="2871">
        <v>83424</v>
      </c>
      <c r="F981" s="2871">
        <v>83424</v>
      </c>
      <c r="G981" s="2870">
        <v>56081</v>
      </c>
      <c r="H981" s="3111">
        <f t="shared" si="68"/>
        <v>0.67224060222477944</v>
      </c>
      <c r="J981" s="1702"/>
    </row>
    <row r="982" spans="1:10" s="1906" customFormat="1" ht="18" hidden="1" customHeight="1">
      <c r="A982" s="1923"/>
      <c r="B982" s="1995"/>
      <c r="C982" s="3087" t="s">
        <v>478</v>
      </c>
      <c r="D982" s="3086" t="s">
        <v>964</v>
      </c>
      <c r="E982" s="2496">
        <v>1221</v>
      </c>
      <c r="F982" s="2496">
        <v>1221</v>
      </c>
      <c r="G982" s="1929">
        <v>0</v>
      </c>
      <c r="H982" s="3111">
        <f t="shared" si="68"/>
        <v>0</v>
      </c>
      <c r="J982" s="1702"/>
    </row>
    <row r="983" spans="1:10" s="1906" customFormat="1" ht="18" hidden="1" customHeight="1" thickBot="1">
      <c r="A983" s="1923"/>
      <c r="B983" s="1995"/>
      <c r="C983" s="3110" t="s">
        <v>459</v>
      </c>
      <c r="D983" s="3109" t="s">
        <v>964</v>
      </c>
      <c r="E983" s="3108">
        <v>216</v>
      </c>
      <c r="F983" s="3108">
        <v>216</v>
      </c>
      <c r="G983" s="3107">
        <v>0</v>
      </c>
      <c r="H983" s="2856">
        <f t="shared" si="68"/>
        <v>0</v>
      </c>
      <c r="J983" s="1702"/>
    </row>
    <row r="984" spans="1:10" s="1906" customFormat="1" ht="16.5" customHeight="1">
      <c r="A984" s="1922"/>
      <c r="B984" s="2158"/>
      <c r="C984" s="3098" t="s">
        <v>458</v>
      </c>
      <c r="D984" s="3106" t="s">
        <v>962</v>
      </c>
      <c r="E984" s="2871">
        <v>11760</v>
      </c>
      <c r="F984" s="2871">
        <v>11760</v>
      </c>
      <c r="G984" s="2870">
        <v>7634</v>
      </c>
      <c r="H984" s="1950">
        <f t="shared" si="68"/>
        <v>0.64914965986394557</v>
      </c>
      <c r="J984" s="1702"/>
    </row>
    <row r="985" spans="1:10" s="1906" customFormat="1" ht="16.5" hidden="1" customHeight="1">
      <c r="A985" s="1923"/>
      <c r="B985" s="2158"/>
      <c r="C985" s="3087" t="s">
        <v>477</v>
      </c>
      <c r="D985" s="3086" t="s">
        <v>962</v>
      </c>
      <c r="E985" s="2496">
        <v>173</v>
      </c>
      <c r="F985" s="2496">
        <v>173</v>
      </c>
      <c r="G985" s="1929">
        <v>0</v>
      </c>
      <c r="H985" s="2497">
        <f t="shared" si="68"/>
        <v>0</v>
      </c>
      <c r="J985" s="1702"/>
    </row>
    <row r="986" spans="1:10" s="1906" customFormat="1" ht="16.5" hidden="1" customHeight="1">
      <c r="A986" s="1923"/>
      <c r="B986" s="1995"/>
      <c r="C986" s="3105" t="s">
        <v>457</v>
      </c>
      <c r="D986" s="3104" t="s">
        <v>962</v>
      </c>
      <c r="E986" s="2871">
        <v>31</v>
      </c>
      <c r="F986" s="2871">
        <v>31</v>
      </c>
      <c r="G986" s="2870">
        <v>0</v>
      </c>
      <c r="H986" s="3103">
        <f t="shared" si="68"/>
        <v>0</v>
      </c>
      <c r="J986" s="1702"/>
    </row>
    <row r="987" spans="1:10" s="1906" customFormat="1" ht="18" hidden="1" customHeight="1">
      <c r="A987" s="1923"/>
      <c r="B987" s="1995"/>
      <c r="C987" s="3102" t="s">
        <v>456</v>
      </c>
      <c r="D987" s="3101" t="s">
        <v>973</v>
      </c>
      <c r="E987" s="2871">
        <v>20000</v>
      </c>
      <c r="F987" s="2871">
        <v>20000</v>
      </c>
      <c r="G987" s="2870">
        <v>0</v>
      </c>
      <c r="H987" s="2860">
        <f t="shared" si="68"/>
        <v>0</v>
      </c>
      <c r="J987" s="1702"/>
    </row>
    <row r="988" spans="1:10" s="1906" customFormat="1" ht="18" hidden="1" customHeight="1">
      <c r="A988" s="1923"/>
      <c r="B988" s="1995"/>
      <c r="C988" s="3100" t="s">
        <v>535</v>
      </c>
      <c r="D988" s="3086" t="s">
        <v>973</v>
      </c>
      <c r="E988" s="2871">
        <v>0</v>
      </c>
      <c r="F988" s="2871"/>
      <c r="G988" s="2870"/>
      <c r="H988" s="2860" t="e">
        <f t="shared" si="68"/>
        <v>#DIV/0!</v>
      </c>
      <c r="J988" s="1702"/>
    </row>
    <row r="989" spans="1:10" s="1906" customFormat="1" ht="18" hidden="1" customHeight="1">
      <c r="A989" s="1923"/>
      <c r="B989" s="1995"/>
      <c r="C989" s="3099" t="s">
        <v>455</v>
      </c>
      <c r="D989" s="3095" t="s">
        <v>973</v>
      </c>
      <c r="E989" s="2871">
        <v>0</v>
      </c>
      <c r="F989" s="2871"/>
      <c r="G989" s="2870"/>
      <c r="H989" s="2860" t="e">
        <f t="shared" si="68"/>
        <v>#DIV/0!</v>
      </c>
      <c r="J989" s="1702"/>
    </row>
    <row r="990" spans="1:10" s="1906" customFormat="1" ht="18" customHeight="1">
      <c r="A990" s="1923"/>
      <c r="B990" s="1995"/>
      <c r="C990" s="3098" t="s">
        <v>450</v>
      </c>
      <c r="D990" s="3095" t="s">
        <v>960</v>
      </c>
      <c r="E990" s="2871">
        <v>200000</v>
      </c>
      <c r="F990" s="2871">
        <v>500000</v>
      </c>
      <c r="G990" s="2870">
        <v>75321</v>
      </c>
      <c r="H990" s="2860">
        <f t="shared" si="68"/>
        <v>0.150642</v>
      </c>
      <c r="J990" s="1702"/>
    </row>
    <row r="991" spans="1:10" s="1906" customFormat="1" ht="18" hidden="1" customHeight="1">
      <c r="A991" s="1923"/>
      <c r="B991" s="1995"/>
      <c r="C991" s="3098" t="s">
        <v>533</v>
      </c>
      <c r="D991" s="3095" t="s">
        <v>960</v>
      </c>
      <c r="E991" s="2871">
        <v>10812</v>
      </c>
      <c r="F991" s="2871">
        <v>10812</v>
      </c>
      <c r="G991" s="2870">
        <v>0</v>
      </c>
      <c r="H991" s="2860">
        <f t="shared" si="68"/>
        <v>0</v>
      </c>
      <c r="J991" s="1702"/>
    </row>
    <row r="992" spans="1:10" s="1906" customFormat="1" ht="18" hidden="1" customHeight="1">
      <c r="A992" s="1923"/>
      <c r="B992" s="1995"/>
      <c r="C992" s="3098" t="s">
        <v>449</v>
      </c>
      <c r="D992" s="3095" t="s">
        <v>960</v>
      </c>
      <c r="E992" s="2871">
        <v>1908</v>
      </c>
      <c r="F992" s="2871">
        <v>1908</v>
      </c>
      <c r="G992" s="2870">
        <v>0</v>
      </c>
      <c r="H992" s="2860">
        <f t="shared" si="68"/>
        <v>0</v>
      </c>
      <c r="J992" s="1702"/>
    </row>
    <row r="993" spans="1:10" s="1906" customFormat="1" ht="18" hidden="1" customHeight="1">
      <c r="A993" s="1923"/>
      <c r="B993" s="1995"/>
      <c r="C993" s="3098" t="s">
        <v>959</v>
      </c>
      <c r="D993" s="3095" t="s">
        <v>958</v>
      </c>
      <c r="E993" s="2871">
        <v>0</v>
      </c>
      <c r="F993" s="2871"/>
      <c r="G993" s="2870"/>
      <c r="H993" s="2860" t="e">
        <f t="shared" si="68"/>
        <v>#DIV/0!</v>
      </c>
      <c r="J993" s="1702"/>
    </row>
    <row r="994" spans="1:10" s="1906" customFormat="1" ht="18" customHeight="1" thickBot="1">
      <c r="A994" s="1913"/>
      <c r="B994" s="3097"/>
      <c r="C994" s="2868" t="s">
        <v>446</v>
      </c>
      <c r="D994" s="3096" t="s">
        <v>958</v>
      </c>
      <c r="E994" s="2857">
        <v>12745182</v>
      </c>
      <c r="F994" s="2857">
        <v>17151594</v>
      </c>
      <c r="G994" s="1915">
        <v>3231784</v>
      </c>
      <c r="H994" s="3088">
        <f t="shared" si="68"/>
        <v>0.18842470268361064</v>
      </c>
      <c r="J994" s="1702"/>
    </row>
    <row r="995" spans="1:10" s="1906" customFormat="1" ht="18" hidden="1" customHeight="1">
      <c r="A995" s="1923"/>
      <c r="B995" s="1995"/>
      <c r="C995" s="3087" t="s">
        <v>529</v>
      </c>
      <c r="D995" s="3086" t="s">
        <v>958</v>
      </c>
      <c r="E995" s="2496">
        <v>11226</v>
      </c>
      <c r="F995" s="2496">
        <v>11226</v>
      </c>
      <c r="G995" s="1929">
        <v>0</v>
      </c>
      <c r="H995" s="3088">
        <f t="shared" si="68"/>
        <v>0</v>
      </c>
      <c r="J995" s="1702"/>
    </row>
    <row r="996" spans="1:10" s="1906" customFormat="1" ht="18" hidden="1" customHeight="1">
      <c r="A996" s="1923"/>
      <c r="B996" s="1995"/>
      <c r="C996" s="2873" t="s">
        <v>445</v>
      </c>
      <c r="D996" s="3095" t="s">
        <v>958</v>
      </c>
      <c r="E996" s="2878">
        <v>1248</v>
      </c>
      <c r="F996" s="2878">
        <v>1248</v>
      </c>
      <c r="G996" s="2870">
        <v>0</v>
      </c>
      <c r="H996" s="3088">
        <f t="shared" si="68"/>
        <v>0</v>
      </c>
      <c r="J996" s="1702"/>
    </row>
    <row r="997" spans="1:10" s="1906" customFormat="1" ht="18" hidden="1" customHeight="1">
      <c r="A997" s="1923"/>
      <c r="B997" s="1995"/>
      <c r="C997" s="2873" t="s">
        <v>570</v>
      </c>
      <c r="D997" s="3095" t="s">
        <v>1119</v>
      </c>
      <c r="E997" s="2878">
        <v>150000</v>
      </c>
      <c r="F997" s="2878">
        <v>140000</v>
      </c>
      <c r="G997" s="2870">
        <v>0</v>
      </c>
      <c r="H997" s="3088">
        <f t="shared" si="68"/>
        <v>0</v>
      </c>
      <c r="J997" s="1702"/>
    </row>
    <row r="998" spans="1:10" s="1906" customFormat="1" ht="18" hidden="1" customHeight="1">
      <c r="A998" s="1923"/>
      <c r="B998" s="1995"/>
      <c r="C998" s="2873" t="s">
        <v>527</v>
      </c>
      <c r="D998" s="3095" t="s">
        <v>1119</v>
      </c>
      <c r="E998" s="2878">
        <v>0</v>
      </c>
      <c r="F998" s="2878"/>
      <c r="G998" s="2870"/>
      <c r="H998" s="3088" t="e">
        <f t="shared" si="68"/>
        <v>#DIV/0!</v>
      </c>
      <c r="J998" s="1702"/>
    </row>
    <row r="999" spans="1:10" s="1906" customFormat="1" ht="18" hidden="1" customHeight="1" thickBot="1">
      <c r="A999" s="1923"/>
      <c r="B999" s="1995"/>
      <c r="C999" s="3094" t="s">
        <v>526</v>
      </c>
      <c r="D999" s="3093" t="s">
        <v>1119</v>
      </c>
      <c r="E999" s="3092">
        <v>0</v>
      </c>
      <c r="F999" s="3092"/>
      <c r="G999" s="3091"/>
      <c r="H999" s="3088" t="e">
        <f t="shared" si="68"/>
        <v>#DIV/0!</v>
      </c>
      <c r="J999" s="1702"/>
    </row>
    <row r="1000" spans="1:10" s="1906" customFormat="1" ht="18" customHeight="1">
      <c r="A1000" s="2321"/>
      <c r="B1000" s="3090"/>
      <c r="C1000" s="2540" t="s">
        <v>492</v>
      </c>
      <c r="D1000" s="3089" t="s">
        <v>995</v>
      </c>
      <c r="E1000" s="1952">
        <v>500000</v>
      </c>
      <c r="F1000" s="1952">
        <v>500000</v>
      </c>
      <c r="G1000" s="1951">
        <v>242630</v>
      </c>
      <c r="H1000" s="3088">
        <f t="shared" si="68"/>
        <v>0.48526000000000002</v>
      </c>
      <c r="J1000" s="1702"/>
    </row>
    <row r="1001" spans="1:10" s="1906" customFormat="1" ht="18" customHeight="1">
      <c r="A1001" s="1923"/>
      <c r="B1001" s="2158"/>
      <c r="C1001" s="3087" t="s">
        <v>467</v>
      </c>
      <c r="D1001" s="3086" t="s">
        <v>991</v>
      </c>
      <c r="E1001" s="2496">
        <v>5000</v>
      </c>
      <c r="F1001" s="2496">
        <v>13500</v>
      </c>
      <c r="G1001" s="1929">
        <v>5000</v>
      </c>
      <c r="H1001" s="2497">
        <f t="shared" si="68"/>
        <v>0.37037037037037035</v>
      </c>
      <c r="J1001" s="1702"/>
    </row>
    <row r="1002" spans="1:10" s="1906" customFormat="1" ht="16.5" hidden="1" customHeight="1">
      <c r="A1002" s="1923"/>
      <c r="B1002" s="1995"/>
      <c r="C1002" s="3085" t="s">
        <v>524</v>
      </c>
      <c r="D1002" s="3043" t="s">
        <v>991</v>
      </c>
      <c r="E1002" s="2878">
        <v>0</v>
      </c>
      <c r="F1002" s="2878"/>
      <c r="G1002" s="2870"/>
      <c r="H1002" s="2875" t="e">
        <f t="shared" si="68"/>
        <v>#DIV/0!</v>
      </c>
      <c r="J1002" s="1702"/>
    </row>
    <row r="1003" spans="1:10" s="1906" customFormat="1" ht="19.5" hidden="1" customHeight="1">
      <c r="A1003" s="1923"/>
      <c r="B1003" s="1995"/>
      <c r="C1003" s="2873" t="s">
        <v>466</v>
      </c>
      <c r="D1003" s="3043" t="s">
        <v>991</v>
      </c>
      <c r="E1003" s="2878">
        <v>0</v>
      </c>
      <c r="F1003" s="2878"/>
      <c r="G1003" s="2870"/>
      <c r="H1003" s="2875" t="e">
        <f t="shared" si="68"/>
        <v>#DIV/0!</v>
      </c>
      <c r="J1003" s="1702"/>
    </row>
    <row r="1004" spans="1:10" s="1906" customFormat="1" ht="18" hidden="1" customHeight="1">
      <c r="A1004" s="1923"/>
      <c r="B1004" s="1995"/>
      <c r="C1004" s="2873" t="s">
        <v>990</v>
      </c>
      <c r="D1004" s="3083" t="s">
        <v>989</v>
      </c>
      <c r="E1004" s="2878">
        <v>0</v>
      </c>
      <c r="F1004" s="2878"/>
      <c r="G1004" s="2870"/>
      <c r="H1004" s="2875" t="e">
        <f t="shared" si="68"/>
        <v>#DIV/0!</v>
      </c>
      <c r="J1004" s="1702"/>
    </row>
    <row r="1005" spans="1:10" s="1906" customFormat="1" ht="16.5" customHeight="1">
      <c r="A1005" s="1923"/>
      <c r="B1005" s="1995"/>
      <c r="C1005" s="2873" t="s">
        <v>606</v>
      </c>
      <c r="D1005" s="3083" t="s">
        <v>989</v>
      </c>
      <c r="E1005" s="2878">
        <v>80000</v>
      </c>
      <c r="F1005" s="2878">
        <v>80000</v>
      </c>
      <c r="G1005" s="2870">
        <v>40000</v>
      </c>
      <c r="H1005" s="2875">
        <f t="shared" si="68"/>
        <v>0.5</v>
      </c>
      <c r="J1005" s="1702"/>
    </row>
    <row r="1006" spans="1:10" s="1906" customFormat="1" ht="16.5" hidden="1" customHeight="1">
      <c r="A1006" s="1923"/>
      <c r="B1006" s="1995"/>
      <c r="C1006" s="2873" t="s">
        <v>575</v>
      </c>
      <c r="D1006" s="3083" t="s">
        <v>989</v>
      </c>
      <c r="E1006" s="2878">
        <v>0</v>
      </c>
      <c r="F1006" s="2878"/>
      <c r="G1006" s="2870"/>
      <c r="H1006" s="2875" t="e">
        <f t="shared" si="68"/>
        <v>#DIV/0!</v>
      </c>
      <c r="J1006" s="1702"/>
    </row>
    <row r="1007" spans="1:10" s="1906" customFormat="1" ht="16.5" hidden="1" customHeight="1">
      <c r="A1007" s="1923"/>
      <c r="B1007" s="1995"/>
      <c r="C1007" s="2873" t="s">
        <v>574</v>
      </c>
      <c r="D1007" s="3083" t="s">
        <v>989</v>
      </c>
      <c r="E1007" s="2878">
        <v>0</v>
      </c>
      <c r="F1007" s="2878"/>
      <c r="G1007" s="2870"/>
      <c r="H1007" s="2875" t="e">
        <f t="shared" si="68"/>
        <v>#DIV/0!</v>
      </c>
      <c r="J1007" s="1702"/>
    </row>
    <row r="1008" spans="1:10" s="1906" customFormat="1" ht="51" hidden="1">
      <c r="A1008" s="1923"/>
      <c r="B1008" s="1995"/>
      <c r="C1008" s="2873" t="s">
        <v>488</v>
      </c>
      <c r="D1008" s="3084" t="s">
        <v>1137</v>
      </c>
      <c r="E1008" s="2878">
        <v>0</v>
      </c>
      <c r="F1008" s="2878">
        <v>53</v>
      </c>
      <c r="G1008" s="2870">
        <v>0</v>
      </c>
      <c r="H1008" s="2875">
        <f t="shared" si="68"/>
        <v>0</v>
      </c>
      <c r="J1008" s="1702"/>
    </row>
    <row r="1009" spans="1:10" s="1906" customFormat="1" ht="20.25" customHeight="1">
      <c r="A1009" s="1923"/>
      <c r="B1009" s="1995"/>
      <c r="C1009" s="2873" t="s">
        <v>486</v>
      </c>
      <c r="D1009" s="3083" t="s">
        <v>1087</v>
      </c>
      <c r="E1009" s="2878">
        <v>15000</v>
      </c>
      <c r="F1009" s="2878">
        <v>15000</v>
      </c>
      <c r="G1009" s="2870">
        <v>24564</v>
      </c>
      <c r="H1009" s="2875">
        <f t="shared" si="68"/>
        <v>1.6375999999999999</v>
      </c>
      <c r="J1009" s="1702"/>
    </row>
    <row r="1010" spans="1:10" s="1906" customFormat="1" ht="20.25" customHeight="1">
      <c r="A1010" s="1923"/>
      <c r="B1010" s="1995"/>
      <c r="C1010" s="2873" t="s">
        <v>454</v>
      </c>
      <c r="D1010" s="3082" t="s">
        <v>1011</v>
      </c>
      <c r="E1010" s="2878">
        <v>1860</v>
      </c>
      <c r="F1010" s="2878">
        <v>3360</v>
      </c>
      <c r="G1010" s="2870">
        <v>3500</v>
      </c>
      <c r="H1010" s="2875">
        <f t="shared" si="68"/>
        <v>1.0416666666666667</v>
      </c>
      <c r="J1010" s="1702"/>
    </row>
    <row r="1011" spans="1:10" s="1906" customFormat="1" ht="18" customHeight="1">
      <c r="A1011" s="1923"/>
      <c r="B1011" s="1995"/>
      <c r="C1011" s="3081"/>
      <c r="D1011" s="3080"/>
      <c r="E1011" s="2878"/>
      <c r="F1011" s="2878"/>
      <c r="G1011" s="2870"/>
      <c r="H1011" s="2875"/>
      <c r="J1011" s="1702"/>
    </row>
    <row r="1012" spans="1:10" s="1906" customFormat="1" ht="17.100000000000001" customHeight="1">
      <c r="A1012" s="1923"/>
      <c r="B1012" s="1995"/>
      <c r="C1012" s="4487" t="s">
        <v>941</v>
      </c>
      <c r="D1012" s="4488"/>
      <c r="E1012" s="3079">
        <f>SUM(E1013)</f>
        <v>434769</v>
      </c>
      <c r="F1012" s="3079">
        <f>SUM(F1013)</f>
        <v>269852</v>
      </c>
      <c r="G1012" s="3078">
        <f>SUM(G1013)</f>
        <v>42000</v>
      </c>
      <c r="H1012" s="3077">
        <f t="shared" ref="H1012:H1018" si="69">G1012/F1012</f>
        <v>0.15564086981011813</v>
      </c>
      <c r="J1012" s="1702"/>
    </row>
    <row r="1013" spans="1:10" s="1906" customFormat="1" ht="17.100000000000001" customHeight="1">
      <c r="A1013" s="1923"/>
      <c r="B1013" s="1995"/>
      <c r="C1013" s="4425" t="s">
        <v>940</v>
      </c>
      <c r="D1013" s="4489"/>
      <c r="E1013" s="3030">
        <f>SUM(E1014:E1015)</f>
        <v>434769</v>
      </c>
      <c r="F1013" s="3030">
        <f>SUM(F1014:F1015)</f>
        <v>269852</v>
      </c>
      <c r="G1013" s="2940">
        <f>SUM(G1014:G1015)</f>
        <v>42000</v>
      </c>
      <c r="H1013" s="2875">
        <f t="shared" si="69"/>
        <v>0.15564086981011813</v>
      </c>
      <c r="J1013" s="1702"/>
    </row>
    <row r="1014" spans="1:10" s="1906" customFormat="1" ht="17.100000000000001" customHeight="1" thickBot="1">
      <c r="A1014" s="1923"/>
      <c r="B1014" s="1995"/>
      <c r="C1014" s="3044" t="s">
        <v>553</v>
      </c>
      <c r="D1014" s="3043" t="s">
        <v>1072</v>
      </c>
      <c r="E1014" s="3030">
        <v>220000</v>
      </c>
      <c r="F1014" s="2878">
        <v>220000</v>
      </c>
      <c r="G1014" s="2870">
        <v>42000</v>
      </c>
      <c r="H1014" s="2875">
        <f t="shared" si="69"/>
        <v>0.19090909090909092</v>
      </c>
      <c r="J1014" s="1702"/>
    </row>
    <row r="1015" spans="1:10" s="1906" customFormat="1" ht="17.100000000000001" hidden="1" customHeight="1">
      <c r="A1015" s="1923"/>
      <c r="B1015" s="1923"/>
      <c r="C1015" s="3044" t="s">
        <v>504</v>
      </c>
      <c r="D1015" s="3043" t="s">
        <v>1072</v>
      </c>
      <c r="E1015" s="3030">
        <v>214769</v>
      </c>
      <c r="F1015" s="2878">
        <v>49852</v>
      </c>
      <c r="G1015" s="2870">
        <v>0</v>
      </c>
      <c r="H1015" s="2875">
        <f t="shared" si="69"/>
        <v>0</v>
      </c>
      <c r="J1015" s="1702"/>
    </row>
    <row r="1016" spans="1:10" s="1906" customFormat="1" ht="17.100000000000001" hidden="1" customHeight="1">
      <c r="A1016" s="1923"/>
      <c r="B1016" s="1923"/>
      <c r="C1016" s="3044" t="s">
        <v>500</v>
      </c>
      <c r="D1016" s="3043" t="s">
        <v>1072</v>
      </c>
      <c r="E1016" s="3030">
        <v>0</v>
      </c>
      <c r="F1016" s="2878"/>
      <c r="G1016" s="2870"/>
      <c r="H1016" s="2875" t="e">
        <f t="shared" si="69"/>
        <v>#DIV/0!</v>
      </c>
      <c r="J1016" s="1702"/>
    </row>
    <row r="1017" spans="1:10" s="1906" customFormat="1" ht="17.100000000000001" hidden="1" customHeight="1">
      <c r="A1017" s="1923"/>
      <c r="B1017" s="1923"/>
      <c r="C1017" s="3044" t="s">
        <v>569</v>
      </c>
      <c r="D1017" s="3043" t="s">
        <v>1072</v>
      </c>
      <c r="E1017" s="3030">
        <v>0</v>
      </c>
      <c r="F1017" s="2878"/>
      <c r="G1017" s="2870"/>
      <c r="H1017" s="2875" t="e">
        <f t="shared" si="69"/>
        <v>#DIV/0!</v>
      </c>
      <c r="J1017" s="1702"/>
    </row>
    <row r="1018" spans="1:10" s="1906" customFormat="1" ht="27" hidden="1" customHeight="1">
      <c r="A1018" s="1923"/>
      <c r="B1018" s="1923"/>
      <c r="C1018" s="3044" t="s">
        <v>605</v>
      </c>
      <c r="D1018" s="3043" t="s">
        <v>1022</v>
      </c>
      <c r="E1018" s="3030">
        <v>0</v>
      </c>
      <c r="F1018" s="2878"/>
      <c r="G1018" s="2870"/>
      <c r="H1018" s="2875" t="e">
        <f t="shared" si="69"/>
        <v>#DIV/0!</v>
      </c>
      <c r="J1018" s="1702"/>
    </row>
    <row r="1019" spans="1:10" s="1906" customFormat="1" ht="17.100000000000001" hidden="1" customHeight="1">
      <c r="A1019" s="1923"/>
      <c r="B1019" s="1923"/>
      <c r="C1019" s="3044"/>
      <c r="D1019" s="3043"/>
      <c r="E1019" s="3030"/>
      <c r="F1019" s="2878"/>
      <c r="G1019" s="2870"/>
      <c r="H1019" s="2875"/>
      <c r="J1019" s="1702"/>
    </row>
    <row r="1020" spans="1:10" s="1906" customFormat="1" ht="20.25" hidden="1" customHeight="1">
      <c r="A1020" s="1923"/>
      <c r="B1020" s="1923"/>
      <c r="C1020" s="4490" t="s">
        <v>1024</v>
      </c>
      <c r="D1020" s="4491"/>
      <c r="E1020" s="3047">
        <f>SUM(E1021)</f>
        <v>214769</v>
      </c>
      <c r="F1020" s="3047">
        <f>SUM(F1021)</f>
        <v>49852</v>
      </c>
      <c r="G1020" s="3046">
        <f>SUM(G1021)</f>
        <v>0</v>
      </c>
      <c r="H1020" s="2875">
        <f t="shared" ref="H1020:H1026" si="70">G1020/F1020</f>
        <v>0</v>
      </c>
      <c r="J1020" s="1702"/>
    </row>
    <row r="1021" spans="1:10" s="1906" customFormat="1" ht="17.100000000000001" hidden="1" customHeight="1" thickBot="1">
      <c r="A1021" s="1922"/>
      <c r="B1021" s="1913"/>
      <c r="C1021" s="3076" t="s">
        <v>504</v>
      </c>
      <c r="D1021" s="3075" t="s">
        <v>1023</v>
      </c>
      <c r="E1021" s="2857">
        <v>214769</v>
      </c>
      <c r="F1021" s="2857">
        <v>49852</v>
      </c>
      <c r="G1021" s="1915">
        <v>0</v>
      </c>
      <c r="H1021" s="2856">
        <f t="shared" si="70"/>
        <v>0</v>
      </c>
      <c r="J1021" s="1702"/>
    </row>
    <row r="1022" spans="1:10" ht="17.100000000000001" hidden="1" customHeight="1">
      <c r="A1022" s="1836"/>
      <c r="B1022" s="1836"/>
      <c r="C1022" s="3074" t="s">
        <v>500</v>
      </c>
      <c r="D1022" s="3073" t="s">
        <v>1072</v>
      </c>
      <c r="E1022" s="2000">
        <v>0</v>
      </c>
      <c r="F1022" s="2526"/>
      <c r="G1022" s="1903"/>
      <c r="H1022" s="2545" t="e">
        <f t="shared" si="70"/>
        <v>#DIV/0!</v>
      </c>
    </row>
    <row r="1023" spans="1:10" ht="17.100000000000001" hidden="1" customHeight="1">
      <c r="A1023" s="1836"/>
      <c r="B1023" s="1836"/>
      <c r="C1023" s="3072" t="s">
        <v>569</v>
      </c>
      <c r="D1023" s="3071" t="s">
        <v>1072</v>
      </c>
      <c r="E1023" s="3066">
        <v>0</v>
      </c>
      <c r="F1023" s="3070"/>
      <c r="G1023" s="2681"/>
      <c r="H1023" s="3069" t="e">
        <f t="shared" si="70"/>
        <v>#DIV/0!</v>
      </c>
    </row>
    <row r="1024" spans="1:10" ht="27.75" hidden="1" customHeight="1" thickBot="1">
      <c r="A1024" s="1836"/>
      <c r="B1024" s="1836"/>
      <c r="C1024" s="3068" t="s">
        <v>605</v>
      </c>
      <c r="D1024" s="3067" t="s">
        <v>1022</v>
      </c>
      <c r="E1024" s="3066">
        <v>0</v>
      </c>
      <c r="F1024" s="3066"/>
      <c r="G1024" s="3065"/>
      <c r="H1024" s="3064" t="e">
        <f t="shared" si="70"/>
        <v>#DIV/0!</v>
      </c>
    </row>
    <row r="1025" spans="1:10" ht="17.100000000000001" hidden="1" customHeight="1" thickBot="1">
      <c r="A1025" s="1836"/>
      <c r="B1025" s="3063" t="s">
        <v>1313</v>
      </c>
      <c r="C1025" s="2105"/>
      <c r="D1025" s="2854" t="s">
        <v>191</v>
      </c>
      <c r="E1025" s="3062">
        <v>0</v>
      </c>
      <c r="F1025" s="1765">
        <f>SUM(F1026,F1037)</f>
        <v>60000</v>
      </c>
      <c r="G1025" s="1764">
        <f>SUM(G1026,G1037)</f>
        <v>0</v>
      </c>
      <c r="H1025" s="1763">
        <f t="shared" si="70"/>
        <v>0</v>
      </c>
    </row>
    <row r="1026" spans="1:10" ht="17.100000000000001" hidden="1" customHeight="1">
      <c r="A1026" s="1836"/>
      <c r="B1026" s="4492"/>
      <c r="C1026" s="4098" t="s">
        <v>944</v>
      </c>
      <c r="D1026" s="4099"/>
      <c r="E1026" s="3061">
        <v>0</v>
      </c>
      <c r="F1026" s="3060">
        <f>SUM(F1027)</f>
        <v>60000</v>
      </c>
      <c r="G1026" s="2094">
        <f>SUM(G1027)</f>
        <v>0</v>
      </c>
      <c r="H1026" s="2227">
        <f t="shared" si="70"/>
        <v>0</v>
      </c>
    </row>
    <row r="1027" spans="1:10" ht="17.100000000000001" hidden="1" customHeight="1">
      <c r="A1027" s="1836"/>
      <c r="B1027" s="4493"/>
      <c r="C1027" s="4455" t="s">
        <v>967</v>
      </c>
      <c r="D1027" s="4456"/>
      <c r="E1027" s="3054">
        <v>0</v>
      </c>
      <c r="F1027" s="3005">
        <f>SUM(F1028,F1031)</f>
        <v>60000</v>
      </c>
      <c r="G1027" s="2686">
        <f>SUM(G1028,G1031)</f>
        <v>0</v>
      </c>
      <c r="H1027" s="3004"/>
    </row>
    <row r="1028" spans="1:10" ht="17.100000000000001" hidden="1" customHeight="1">
      <c r="A1028" s="1836"/>
      <c r="B1028" s="4493"/>
      <c r="C1028" s="4457" t="s">
        <v>966</v>
      </c>
      <c r="D1028" s="4458"/>
      <c r="E1028" s="3054">
        <v>0</v>
      </c>
      <c r="F1028" s="3005"/>
      <c r="G1028" s="2686"/>
      <c r="H1028" s="3004"/>
    </row>
    <row r="1029" spans="1:10" ht="17.100000000000001" hidden="1" customHeight="1">
      <c r="A1029" s="1836"/>
      <c r="B1029" s="4493"/>
      <c r="C1029" s="3008" t="s">
        <v>974</v>
      </c>
      <c r="D1029" s="3007" t="s">
        <v>973</v>
      </c>
      <c r="E1029" s="3054">
        <v>0</v>
      </c>
      <c r="F1029" s="3005"/>
      <c r="G1029" s="2686"/>
      <c r="H1029" s="3004"/>
    </row>
    <row r="1030" spans="1:10" ht="17.100000000000001" hidden="1" customHeight="1">
      <c r="A1030" s="1836"/>
      <c r="B1030" s="4493"/>
      <c r="C1030" s="3059"/>
      <c r="D1030" s="3058"/>
      <c r="E1030" s="3006"/>
      <c r="F1030" s="3005"/>
      <c r="G1030" s="2686"/>
      <c r="H1030" s="3004"/>
    </row>
    <row r="1031" spans="1:10" ht="17.100000000000001" hidden="1" customHeight="1">
      <c r="A1031" s="1836"/>
      <c r="B1031" s="4493"/>
      <c r="C1031" s="4495" t="s">
        <v>961</v>
      </c>
      <c r="D1031" s="4496"/>
      <c r="E1031" s="3054">
        <v>0</v>
      </c>
      <c r="F1031" s="3057">
        <f>SUM(F1032:F1035)</f>
        <v>60000</v>
      </c>
      <c r="G1031" s="2715">
        <f>SUM(G1032:G1035)</f>
        <v>0</v>
      </c>
      <c r="H1031" s="3022">
        <f>G1031/F1031</f>
        <v>0</v>
      </c>
    </row>
    <row r="1032" spans="1:10" ht="17.100000000000001" hidden="1" customHeight="1">
      <c r="A1032" s="1836"/>
      <c r="B1032" s="4493"/>
      <c r="C1032" s="3008" t="s">
        <v>613</v>
      </c>
      <c r="D1032" s="3007" t="s">
        <v>960</v>
      </c>
      <c r="E1032" s="3054">
        <v>0</v>
      </c>
      <c r="F1032" s="3005"/>
      <c r="G1032" s="2686"/>
      <c r="H1032" s="3004" t="e">
        <f>G1032/F1032</f>
        <v>#DIV/0!</v>
      </c>
    </row>
    <row r="1033" spans="1:10" ht="17.100000000000001" hidden="1" customHeight="1">
      <c r="A1033" s="1836"/>
      <c r="B1033" s="4493"/>
      <c r="C1033" s="3008" t="s">
        <v>959</v>
      </c>
      <c r="D1033" s="3007" t="s">
        <v>958</v>
      </c>
      <c r="E1033" s="3054">
        <v>0</v>
      </c>
      <c r="F1033" s="3005">
        <v>34754</v>
      </c>
      <c r="G1033" s="2686">
        <v>0</v>
      </c>
      <c r="H1033" s="3004">
        <f>G1033/F1033</f>
        <v>0</v>
      </c>
    </row>
    <row r="1034" spans="1:10" ht="17.100000000000001" hidden="1" customHeight="1" thickBot="1">
      <c r="A1034" s="1836"/>
      <c r="B1034" s="4493"/>
      <c r="C1034" s="3018" t="s">
        <v>1123</v>
      </c>
      <c r="D1034" s="3043" t="s">
        <v>1119</v>
      </c>
      <c r="E1034" s="3006">
        <v>0</v>
      </c>
      <c r="F1034" s="3005">
        <v>25246</v>
      </c>
      <c r="G1034" s="2686">
        <v>0</v>
      </c>
      <c r="H1034" s="3004">
        <f>G1034/F1034</f>
        <v>0</v>
      </c>
    </row>
    <row r="1035" spans="1:10" ht="17.100000000000001" hidden="1" customHeight="1">
      <c r="A1035" s="1836"/>
      <c r="B1035" s="4494"/>
      <c r="C1035" s="3056" t="s">
        <v>1312</v>
      </c>
      <c r="D1035" s="3055" t="s">
        <v>1311</v>
      </c>
      <c r="E1035" s="2822">
        <v>0</v>
      </c>
      <c r="F1035" s="2636"/>
      <c r="G1035" s="1738"/>
      <c r="H1035" s="2617" t="e">
        <f>G1035/F1035</f>
        <v>#DIV/0!</v>
      </c>
    </row>
    <row r="1036" spans="1:10" ht="17.100000000000001" hidden="1" customHeight="1">
      <c r="A1036" s="1836"/>
      <c r="B1036" s="3053"/>
      <c r="C1036" s="1756"/>
      <c r="D1036" s="2970"/>
      <c r="E1036" s="2825"/>
      <c r="F1036" s="2500"/>
      <c r="G1036" s="1802"/>
      <c r="H1036" s="2503"/>
    </row>
    <row r="1037" spans="1:10" ht="17.100000000000001" hidden="1" customHeight="1">
      <c r="A1037" s="1836"/>
      <c r="B1037" s="3053"/>
      <c r="C1037" s="4471" t="s">
        <v>941</v>
      </c>
      <c r="D1037" s="4472"/>
      <c r="E1037" s="3006">
        <v>0</v>
      </c>
      <c r="F1037" s="3005"/>
      <c r="G1037" s="2686"/>
      <c r="H1037" s="3004"/>
    </row>
    <row r="1038" spans="1:10" ht="17.100000000000001" hidden="1" customHeight="1">
      <c r="A1038" s="1836"/>
      <c r="B1038" s="3053"/>
      <c r="C1038" s="4473" t="s">
        <v>940</v>
      </c>
      <c r="D1038" s="4474"/>
      <c r="E1038" s="3054">
        <v>0</v>
      </c>
      <c r="F1038" s="3005"/>
      <c r="G1038" s="2686"/>
      <c r="H1038" s="3004"/>
    </row>
    <row r="1039" spans="1:10" ht="17.100000000000001" hidden="1" customHeight="1" thickBot="1">
      <c r="A1039" s="1836"/>
      <c r="B1039" s="3053"/>
      <c r="C1039" s="3008" t="s">
        <v>553</v>
      </c>
      <c r="D1039" s="3007" t="s">
        <v>1072</v>
      </c>
      <c r="E1039" s="2822">
        <v>0</v>
      </c>
      <c r="F1039" s="3005"/>
      <c r="G1039" s="2686"/>
      <c r="H1039" s="3052"/>
    </row>
    <row r="1040" spans="1:10" s="1906" customFormat="1" ht="18.75" customHeight="1" thickBot="1">
      <c r="A1040" s="1923"/>
      <c r="B1040" s="2587" t="s">
        <v>1310</v>
      </c>
      <c r="C1040" s="1985"/>
      <c r="D1040" s="2365" t="s">
        <v>193</v>
      </c>
      <c r="E1040" s="3051">
        <f>SUM(E1041)</f>
        <v>225000</v>
      </c>
      <c r="F1040" s="3051">
        <f>SUM(F1041)</f>
        <v>225000</v>
      </c>
      <c r="G1040" s="3050">
        <f>SUM(G1041)</f>
        <v>254000</v>
      </c>
      <c r="H1040" s="1966">
        <f t="shared" ref="H1040:H1047" si="71">G1040/F1040</f>
        <v>1.1288888888888888</v>
      </c>
      <c r="J1040" s="1702"/>
    </row>
    <row r="1041" spans="1:10" s="1906" customFormat="1" ht="15.75" customHeight="1">
      <c r="A1041" s="1923"/>
      <c r="B1041" s="2898"/>
      <c r="C1041" s="4407" t="s">
        <v>944</v>
      </c>
      <c r="D1041" s="4475"/>
      <c r="E1041" s="3049">
        <f>SUM(E1042,E1057)</f>
        <v>225000</v>
      </c>
      <c r="F1041" s="3049">
        <f>SUM(F1042,F1057)</f>
        <v>225000</v>
      </c>
      <c r="G1041" s="3048">
        <f>SUM(G1042,G1057)</f>
        <v>254000</v>
      </c>
      <c r="H1041" s="2508">
        <f t="shared" si="71"/>
        <v>1.1288888888888888</v>
      </c>
      <c r="J1041" s="1702"/>
    </row>
    <row r="1042" spans="1:10" s="1906" customFormat="1" ht="16.5" customHeight="1">
      <c r="A1042" s="1923"/>
      <c r="B1042" s="2874"/>
      <c r="C1042" s="4476" t="s">
        <v>967</v>
      </c>
      <c r="D1042" s="4477"/>
      <c r="E1042" s="3030">
        <f>SUM(E1043,E1049)</f>
        <v>218000</v>
      </c>
      <c r="F1042" s="3030">
        <f>SUM(F1043,F1049)</f>
        <v>218000</v>
      </c>
      <c r="G1042" s="2940">
        <f>SUM(G1043,G1049)</f>
        <v>247000</v>
      </c>
      <c r="H1042" s="2875">
        <f t="shared" si="71"/>
        <v>1.1330275229357798</v>
      </c>
      <c r="J1042" s="1702"/>
    </row>
    <row r="1043" spans="1:10" s="1906" customFormat="1" ht="16.5" customHeight="1">
      <c r="A1043" s="1923"/>
      <c r="B1043" s="2874"/>
      <c r="C1043" s="4478" t="s">
        <v>966</v>
      </c>
      <c r="D1043" s="4479"/>
      <c r="E1043" s="3047">
        <f>SUM(E1044:E1047)</f>
        <v>160000</v>
      </c>
      <c r="F1043" s="3047">
        <f>SUM(F1044:F1047)</f>
        <v>160000</v>
      </c>
      <c r="G1043" s="3046">
        <f>SUM(G1044:G1047)</f>
        <v>180000</v>
      </c>
      <c r="H1043" s="3038">
        <f t="shared" si="71"/>
        <v>1.125</v>
      </c>
      <c r="J1043" s="1702" t="s">
        <v>1028</v>
      </c>
    </row>
    <row r="1044" spans="1:10" s="1906" customFormat="1" ht="16.5" customHeight="1">
      <c r="A1044" s="1923"/>
      <c r="B1044" s="2874"/>
      <c r="C1044" s="3045" t="s">
        <v>1016</v>
      </c>
      <c r="D1044" s="3043" t="s">
        <v>1015</v>
      </c>
      <c r="E1044" s="2878">
        <v>132063</v>
      </c>
      <c r="F1044" s="2878">
        <v>132063</v>
      </c>
      <c r="G1044" s="3031">
        <v>148780</v>
      </c>
      <c r="H1044" s="2875">
        <f t="shared" si="71"/>
        <v>1.1265835245299591</v>
      </c>
      <c r="J1044" s="1702"/>
    </row>
    <row r="1045" spans="1:10" s="1906" customFormat="1" ht="18" customHeight="1">
      <c r="A1045" s="1923"/>
      <c r="B1045" s="2874"/>
      <c r="C1045" s="3044" t="s">
        <v>965</v>
      </c>
      <c r="D1045" s="3043" t="s">
        <v>964</v>
      </c>
      <c r="E1045" s="2878">
        <v>22701</v>
      </c>
      <c r="F1045" s="2878">
        <v>22701</v>
      </c>
      <c r="G1045" s="3031">
        <v>25575</v>
      </c>
      <c r="H1045" s="2875">
        <f t="shared" si="71"/>
        <v>1.1266023523192812</v>
      </c>
      <c r="J1045" s="1702"/>
    </row>
    <row r="1046" spans="1:10" s="1906" customFormat="1" ht="17.25" customHeight="1">
      <c r="A1046" s="1923"/>
      <c r="B1046" s="2874"/>
      <c r="C1046" s="3044" t="s">
        <v>963</v>
      </c>
      <c r="D1046" s="3043" t="s">
        <v>962</v>
      </c>
      <c r="E1046" s="2878">
        <v>3236</v>
      </c>
      <c r="F1046" s="2878">
        <v>3236</v>
      </c>
      <c r="G1046" s="3031">
        <v>3645</v>
      </c>
      <c r="H1046" s="2875">
        <f t="shared" si="71"/>
        <v>1.1263906056860322</v>
      </c>
      <c r="J1046" s="1702"/>
    </row>
    <row r="1047" spans="1:10" s="1906" customFormat="1" ht="17.25" customHeight="1">
      <c r="A1047" s="1923"/>
      <c r="B1047" s="2874"/>
      <c r="C1047" s="3044" t="s">
        <v>974</v>
      </c>
      <c r="D1047" s="3043" t="s">
        <v>973</v>
      </c>
      <c r="E1047" s="2878">
        <v>2000</v>
      </c>
      <c r="F1047" s="2878">
        <v>2000</v>
      </c>
      <c r="G1047" s="3031">
        <v>2000</v>
      </c>
      <c r="H1047" s="2875">
        <f t="shared" si="71"/>
        <v>1</v>
      </c>
      <c r="J1047" s="1702"/>
    </row>
    <row r="1048" spans="1:10" s="1906" customFormat="1" ht="16.5" customHeight="1">
      <c r="A1048" s="1922"/>
      <c r="B1048" s="2874"/>
      <c r="C1048" s="3042"/>
      <c r="D1048" s="3041"/>
      <c r="E1048" s="3030"/>
      <c r="F1048" s="2878"/>
      <c r="G1048" s="2870"/>
      <c r="H1048" s="2875"/>
      <c r="J1048" s="1702"/>
    </row>
    <row r="1049" spans="1:10" s="1906" customFormat="1" ht="16.5" customHeight="1">
      <c r="A1049" s="1923"/>
      <c r="B1049" s="2014"/>
      <c r="C1049" s="4480" t="s">
        <v>961</v>
      </c>
      <c r="D1049" s="4480"/>
      <c r="E1049" s="3040">
        <f>SUM(E1050:E1055)</f>
        <v>58000</v>
      </c>
      <c r="F1049" s="3040">
        <f>SUM(F1050:F1055)</f>
        <v>58000</v>
      </c>
      <c r="G1049" s="3039">
        <f>SUM(G1050:G1055)</f>
        <v>67000</v>
      </c>
      <c r="H1049" s="3038">
        <f t="shared" ref="H1049:H1055" si="72">G1049/F1049</f>
        <v>1.1551724137931034</v>
      </c>
      <c r="J1049" s="1702" t="s">
        <v>1028</v>
      </c>
    </row>
    <row r="1050" spans="1:10" s="1906" customFormat="1" ht="17.25" customHeight="1">
      <c r="A1050" s="1923"/>
      <c r="B1050" s="2014"/>
      <c r="C1050" s="3037" t="s">
        <v>613</v>
      </c>
      <c r="D1050" s="3036" t="s">
        <v>960</v>
      </c>
      <c r="E1050" s="3030">
        <v>27000</v>
      </c>
      <c r="F1050" s="2878">
        <v>27000</v>
      </c>
      <c r="G1050" s="3031">
        <v>30000</v>
      </c>
      <c r="H1050" s="2875">
        <f t="shared" si="72"/>
        <v>1.1111111111111112</v>
      </c>
      <c r="J1050" s="1702"/>
    </row>
    <row r="1051" spans="1:10" s="1906" customFormat="1" ht="17.25" customHeight="1">
      <c r="A1051" s="1923"/>
      <c r="B1051" s="2014"/>
      <c r="C1051" s="3037" t="s">
        <v>1008</v>
      </c>
      <c r="D1051" s="3036" t="s">
        <v>1007</v>
      </c>
      <c r="E1051" s="3030">
        <v>1000</v>
      </c>
      <c r="F1051" s="2878">
        <v>1000</v>
      </c>
      <c r="G1051" s="3031">
        <v>1000</v>
      </c>
      <c r="H1051" s="2875">
        <f t="shared" si="72"/>
        <v>1</v>
      </c>
      <c r="J1051" s="1702"/>
    </row>
    <row r="1052" spans="1:10" s="1906" customFormat="1" ht="16.5" customHeight="1">
      <c r="A1052" s="1923"/>
      <c r="B1052" s="2014"/>
      <c r="C1052" s="3035" t="s">
        <v>959</v>
      </c>
      <c r="D1052" s="3034" t="s">
        <v>958</v>
      </c>
      <c r="E1052" s="3030">
        <v>24000</v>
      </c>
      <c r="F1052" s="2878">
        <v>24000</v>
      </c>
      <c r="G1052" s="3031">
        <v>30000</v>
      </c>
      <c r="H1052" s="2875">
        <f t="shared" si="72"/>
        <v>1.25</v>
      </c>
      <c r="J1052" s="1702"/>
    </row>
    <row r="1053" spans="1:10" s="1906" customFormat="1" ht="16.5" customHeight="1">
      <c r="A1053" s="1923"/>
      <c r="B1053" s="2014"/>
      <c r="C1053" s="1974" t="s">
        <v>996</v>
      </c>
      <c r="D1053" s="1973" t="s">
        <v>995</v>
      </c>
      <c r="E1053" s="3029">
        <v>2000</v>
      </c>
      <c r="F1053" s="2878">
        <v>2000</v>
      </c>
      <c r="G1053" s="3031">
        <v>2000</v>
      </c>
      <c r="H1053" s="2875">
        <f t="shared" si="72"/>
        <v>1</v>
      </c>
      <c r="J1053" s="1702"/>
    </row>
    <row r="1054" spans="1:10" s="1906" customFormat="1" ht="16.5" customHeight="1">
      <c r="A1054" s="1923"/>
      <c r="B1054" s="2014"/>
      <c r="C1054" s="3033" t="s">
        <v>992</v>
      </c>
      <c r="D1054" s="2880" t="s">
        <v>991</v>
      </c>
      <c r="E1054" s="3030">
        <v>2000</v>
      </c>
      <c r="F1054" s="2878">
        <v>2000</v>
      </c>
      <c r="G1054" s="3031">
        <v>2000</v>
      </c>
      <c r="H1054" s="2875">
        <f t="shared" si="72"/>
        <v>1</v>
      </c>
      <c r="J1054" s="1702"/>
    </row>
    <row r="1055" spans="1:10" s="1906" customFormat="1" ht="16.5" customHeight="1">
      <c r="A1055" s="1923"/>
      <c r="B1055" s="2014"/>
      <c r="C1055" s="2873" t="s">
        <v>982</v>
      </c>
      <c r="D1055" s="3032" t="s">
        <v>1087</v>
      </c>
      <c r="E1055" s="3030">
        <v>2000</v>
      </c>
      <c r="F1055" s="2878">
        <v>2000</v>
      </c>
      <c r="G1055" s="3031">
        <v>2000</v>
      </c>
      <c r="H1055" s="2875">
        <f t="shared" si="72"/>
        <v>1</v>
      </c>
      <c r="J1055" s="1702"/>
    </row>
    <row r="1056" spans="1:10" s="1906" customFormat="1" ht="16.5" customHeight="1">
      <c r="A1056" s="1923"/>
      <c r="B1056" s="1981"/>
      <c r="C1056" s="2046"/>
      <c r="D1056" s="2010"/>
      <c r="E1056" s="3030"/>
      <c r="F1056" s="2878"/>
      <c r="G1056" s="2870"/>
      <c r="H1056" s="2875"/>
      <c r="J1056" s="1702"/>
    </row>
    <row r="1057" spans="1:10" s="1906" customFormat="1" ht="14.25" customHeight="1">
      <c r="A1057" s="1923"/>
      <c r="B1057" s="1981"/>
      <c r="C1057" s="4481" t="s">
        <v>1199</v>
      </c>
      <c r="D1057" s="4482"/>
      <c r="E1057" s="3029">
        <f>SUM(E1058)</f>
        <v>7000</v>
      </c>
      <c r="F1057" s="3029">
        <f>SUM(F1058)</f>
        <v>7000</v>
      </c>
      <c r="G1057" s="2328">
        <f>SUM(G1058)</f>
        <v>7000</v>
      </c>
      <c r="H1057" s="2875">
        <f t="shared" ref="H1057:H1062" si="73">G1057/F1057</f>
        <v>1</v>
      </c>
      <c r="J1057" s="1702" t="s">
        <v>1028</v>
      </c>
    </row>
    <row r="1058" spans="1:10" s="1906" customFormat="1" ht="18.75" customHeight="1" thickBot="1">
      <c r="A1058" s="1923"/>
      <c r="B1058" s="2006"/>
      <c r="C1058" s="2868" t="s">
        <v>978</v>
      </c>
      <c r="D1058" s="3028" t="s">
        <v>977</v>
      </c>
      <c r="E1058" s="3027">
        <v>7000</v>
      </c>
      <c r="F1058" s="2857">
        <v>7000</v>
      </c>
      <c r="G1058" s="1915">
        <v>7000</v>
      </c>
      <c r="H1058" s="2856">
        <f t="shared" si="73"/>
        <v>1</v>
      </c>
      <c r="J1058" s="1702"/>
    </row>
    <row r="1059" spans="1:10" s="1702" customFormat="1" ht="17.100000000000001" customHeight="1" thickBot="1">
      <c r="A1059" s="4191"/>
      <c r="B1059" s="3026" t="s">
        <v>482</v>
      </c>
      <c r="C1059" s="3025"/>
      <c r="D1059" s="3024" t="s">
        <v>50</v>
      </c>
      <c r="E1059" s="1818">
        <f>SUM(E1060,E1160)</f>
        <v>41712784</v>
      </c>
      <c r="F1059" s="1818">
        <f>SUM(F1060,F1160)</f>
        <v>43805413</v>
      </c>
      <c r="G1059" s="1817">
        <f>SUM(G1060,G1160)</f>
        <v>32325958</v>
      </c>
      <c r="H1059" s="1763">
        <f t="shared" si="73"/>
        <v>0.73794437230850896</v>
      </c>
    </row>
    <row r="1060" spans="1:10" s="1702" customFormat="1" ht="17.100000000000001" customHeight="1">
      <c r="A1060" s="4191"/>
      <c r="B1060" s="3023"/>
      <c r="C1060" s="4098" t="s">
        <v>944</v>
      </c>
      <c r="D1060" s="4099"/>
      <c r="E1060" s="2983">
        <f>SUM(E1061,E1086,E1091,E1094)</f>
        <v>12553376</v>
      </c>
      <c r="F1060" s="2983">
        <f>SUM(F1061,F1086,F1091,F1094)</f>
        <v>15679602</v>
      </c>
      <c r="G1060" s="2982">
        <f>SUM(G1061,G1086,G1091,G1094)</f>
        <v>16759744</v>
      </c>
      <c r="H1060" s="2537">
        <f t="shared" si="73"/>
        <v>1.0688883557120901</v>
      </c>
    </row>
    <row r="1061" spans="1:10" s="1702" customFormat="1" ht="17.100000000000001" customHeight="1">
      <c r="A1061" s="1756"/>
      <c r="B1061" s="3002"/>
      <c r="C1061" s="4455" t="s">
        <v>967</v>
      </c>
      <c r="D1061" s="4456"/>
      <c r="E1061" s="2955">
        <f>SUM(E1062,E1070)</f>
        <v>8253450</v>
      </c>
      <c r="F1061" s="2955">
        <f>SUM(F1062,F1070)</f>
        <v>7794963</v>
      </c>
      <c r="G1061" s="3003">
        <f>SUM(G1062,G1070)</f>
        <v>7972955</v>
      </c>
      <c r="H1061" s="3004">
        <f t="shared" si="73"/>
        <v>1.0228342328244535</v>
      </c>
    </row>
    <row r="1062" spans="1:10" s="1702" customFormat="1" ht="17.100000000000001" customHeight="1">
      <c r="A1062" s="1756"/>
      <c r="B1062" s="3002"/>
      <c r="C1062" s="4457" t="s">
        <v>966</v>
      </c>
      <c r="D1062" s="4458"/>
      <c r="E1062" s="3020">
        <f>SUM(E1063:E1068)</f>
        <v>284500</v>
      </c>
      <c r="F1062" s="3020">
        <f>SUM(F1063:F1068)</f>
        <v>54000</v>
      </c>
      <c r="G1062" s="3019">
        <f>SUM(G1063:G1068)</f>
        <v>216200</v>
      </c>
      <c r="H1062" s="3022">
        <f t="shared" si="73"/>
        <v>4.003703703703704</v>
      </c>
    </row>
    <row r="1063" spans="1:10" s="1702" customFormat="1" ht="17.100000000000001" hidden="1" customHeight="1">
      <c r="A1063" s="1756"/>
      <c r="B1063" s="3002"/>
      <c r="C1063" s="3008" t="s">
        <v>1016</v>
      </c>
      <c r="D1063" s="3007" t="s">
        <v>1015</v>
      </c>
      <c r="E1063" s="2955">
        <v>150000</v>
      </c>
      <c r="F1063" s="3005">
        <v>0</v>
      </c>
      <c r="G1063" s="2686">
        <v>0</v>
      </c>
      <c r="H1063" s="3004"/>
    </row>
    <row r="1064" spans="1:10" s="1702" customFormat="1" ht="17.100000000000001" hidden="1" customHeight="1">
      <c r="A1064" s="1756"/>
      <c r="B1064" s="3002"/>
      <c r="C1064" s="3008" t="s">
        <v>1014</v>
      </c>
      <c r="D1064" s="3007" t="s">
        <v>1013</v>
      </c>
      <c r="E1064" s="2955">
        <v>20000</v>
      </c>
      <c r="F1064" s="3005">
        <v>0</v>
      </c>
      <c r="G1064" s="2686">
        <v>0</v>
      </c>
      <c r="H1064" s="3004"/>
    </row>
    <row r="1065" spans="1:10" s="1702" customFormat="1" ht="17.100000000000001" hidden="1" customHeight="1">
      <c r="A1065" s="1756"/>
      <c r="B1065" s="3002"/>
      <c r="C1065" s="3008" t="s">
        <v>965</v>
      </c>
      <c r="D1065" s="3007" t="s">
        <v>964</v>
      </c>
      <c r="E1065" s="2955">
        <v>26000</v>
      </c>
      <c r="F1065" s="3005">
        <v>0</v>
      </c>
      <c r="G1065" s="2686">
        <v>0</v>
      </c>
      <c r="H1065" s="3004"/>
    </row>
    <row r="1066" spans="1:10" s="1702" customFormat="1" ht="17.100000000000001" hidden="1" customHeight="1">
      <c r="A1066" s="1756"/>
      <c r="B1066" s="3002"/>
      <c r="C1066" s="3008" t="s">
        <v>963</v>
      </c>
      <c r="D1066" s="3007" t="s">
        <v>962</v>
      </c>
      <c r="E1066" s="2955">
        <v>4000</v>
      </c>
      <c r="F1066" s="3005">
        <v>0</v>
      </c>
      <c r="G1066" s="2686">
        <v>0</v>
      </c>
      <c r="H1066" s="3004"/>
    </row>
    <row r="1067" spans="1:10" s="1702" customFormat="1" ht="17.100000000000001" customHeight="1">
      <c r="A1067" s="1756"/>
      <c r="B1067" s="3002"/>
      <c r="C1067" s="3008" t="s">
        <v>974</v>
      </c>
      <c r="D1067" s="3007" t="s">
        <v>973</v>
      </c>
      <c r="E1067" s="2955">
        <v>84000</v>
      </c>
      <c r="F1067" s="3005">
        <v>54000</v>
      </c>
      <c r="G1067" s="2686">
        <v>216200</v>
      </c>
      <c r="H1067" s="3004">
        <f>G1067/F1067</f>
        <v>4.003703703703704</v>
      </c>
      <c r="J1067" s="1702" t="s">
        <v>1285</v>
      </c>
    </row>
    <row r="1068" spans="1:10" s="1702" customFormat="1" ht="17.100000000000001" hidden="1" customHeight="1">
      <c r="A1068" s="1756"/>
      <c r="B1068" s="3002"/>
      <c r="C1068" s="3008" t="s">
        <v>1012</v>
      </c>
      <c r="D1068" s="3007" t="s">
        <v>1011</v>
      </c>
      <c r="E1068" s="2955">
        <v>500</v>
      </c>
      <c r="F1068" s="3005">
        <v>0</v>
      </c>
      <c r="G1068" s="2686">
        <v>0</v>
      </c>
      <c r="H1068" s="3004"/>
    </row>
    <row r="1069" spans="1:10" s="1702" customFormat="1" ht="17.100000000000001" customHeight="1">
      <c r="A1069" s="1831"/>
      <c r="B1069" s="2805"/>
      <c r="C1069" s="2706"/>
      <c r="D1069" s="3021"/>
      <c r="E1069" s="2955"/>
      <c r="F1069" s="3005"/>
      <c r="G1069" s="2686"/>
      <c r="H1069" s="3004"/>
    </row>
    <row r="1070" spans="1:10" s="1702" customFormat="1" ht="17.100000000000001" customHeight="1">
      <c r="A1070" s="1756"/>
      <c r="B1070" s="3002"/>
      <c r="C1070" s="4459" t="s">
        <v>961</v>
      </c>
      <c r="D1070" s="4460"/>
      <c r="E1070" s="3020">
        <f>SUM(E1071:E1084)</f>
        <v>7968950</v>
      </c>
      <c r="F1070" s="3020">
        <f>SUM(F1071:F1084)</f>
        <v>7740963</v>
      </c>
      <c r="G1070" s="3019">
        <f>SUM(G1071:G1084)</f>
        <v>7756755</v>
      </c>
      <c r="H1070" s="2770">
        <f>G1070/F1070</f>
        <v>1.0020400562565666</v>
      </c>
    </row>
    <row r="1071" spans="1:10" s="1702" customFormat="1" ht="17.100000000000001" customHeight="1">
      <c r="A1071" s="1756"/>
      <c r="B1071" s="3002"/>
      <c r="C1071" s="3008" t="s">
        <v>613</v>
      </c>
      <c r="D1071" s="3007" t="s">
        <v>960</v>
      </c>
      <c r="E1071" s="3006">
        <v>95000</v>
      </c>
      <c r="F1071" s="3005">
        <v>60000</v>
      </c>
      <c r="G1071" s="2686">
        <f>15000+85000+5000</f>
        <v>105000</v>
      </c>
      <c r="H1071" s="3004">
        <f>G1071/F1071</f>
        <v>1.75</v>
      </c>
      <c r="J1071" s="1702" t="s">
        <v>1309</v>
      </c>
    </row>
    <row r="1072" spans="1:10" s="1702" customFormat="1" ht="17.100000000000001" hidden="1" customHeight="1">
      <c r="A1072" s="1756"/>
      <c r="B1072" s="3002"/>
      <c r="C1072" s="3008" t="s">
        <v>1008</v>
      </c>
      <c r="D1072" s="3007" t="s">
        <v>1007</v>
      </c>
      <c r="E1072" s="3006">
        <v>1500</v>
      </c>
      <c r="F1072" s="3005">
        <v>0</v>
      </c>
      <c r="G1072" s="2686">
        <v>0</v>
      </c>
      <c r="H1072" s="3004"/>
    </row>
    <row r="1073" spans="1:10" s="1702" customFormat="1" ht="17.100000000000001" customHeight="1">
      <c r="A1073" s="1756"/>
      <c r="B1073" s="3002"/>
      <c r="C1073" s="3008" t="s">
        <v>959</v>
      </c>
      <c r="D1073" s="3007" t="s">
        <v>958</v>
      </c>
      <c r="E1073" s="3006">
        <v>6900969</v>
      </c>
      <c r="F1073" s="3005">
        <v>6456369</v>
      </c>
      <c r="G1073" s="2686">
        <v>6511725</v>
      </c>
      <c r="H1073" s="3004">
        <f>G1073/F1073</f>
        <v>1.0085738593937243</v>
      </c>
      <c r="J1073" s="1702" t="s">
        <v>1308</v>
      </c>
    </row>
    <row r="1074" spans="1:10" s="1702" customFormat="1" ht="17.100000000000001" hidden="1" customHeight="1">
      <c r="A1074" s="1756"/>
      <c r="B1074" s="3002"/>
      <c r="C1074" s="3008" t="s">
        <v>998</v>
      </c>
      <c r="D1074" s="2741" t="s">
        <v>997</v>
      </c>
      <c r="E1074" s="3006">
        <v>5000</v>
      </c>
      <c r="F1074" s="3005">
        <v>0</v>
      </c>
      <c r="G1074" s="2686">
        <v>0</v>
      </c>
      <c r="H1074" s="3004"/>
    </row>
    <row r="1075" spans="1:10" s="1702" customFormat="1" ht="17.100000000000001" customHeight="1">
      <c r="A1075" s="1756"/>
      <c r="B1075" s="3002"/>
      <c r="C1075" s="3008" t="s">
        <v>1123</v>
      </c>
      <c r="D1075" s="3007" t="s">
        <v>1119</v>
      </c>
      <c r="E1075" s="3006">
        <v>13640</v>
      </c>
      <c r="F1075" s="3005">
        <v>12640</v>
      </c>
      <c r="G1075" s="2686">
        <f>4000+6000</f>
        <v>10000</v>
      </c>
      <c r="H1075" s="3004">
        <f t="shared" ref="H1075:H1084" si="74">G1075/F1075</f>
        <v>0.79113924050632911</v>
      </c>
      <c r="J1075" s="1702" t="s">
        <v>1302</v>
      </c>
    </row>
    <row r="1076" spans="1:10" s="1702" customFormat="1" ht="17.100000000000001" customHeight="1">
      <c r="A1076" s="1756"/>
      <c r="B1076" s="3002"/>
      <c r="C1076" s="3008" t="s">
        <v>996</v>
      </c>
      <c r="D1076" s="3007" t="s">
        <v>995</v>
      </c>
      <c r="E1076" s="3006">
        <v>447700</v>
      </c>
      <c r="F1076" s="3005">
        <v>252700</v>
      </c>
      <c r="G1076" s="2686">
        <f>1000+541850+30000+17768</f>
        <v>590618</v>
      </c>
      <c r="H1076" s="3004">
        <f t="shared" si="74"/>
        <v>2.337229916897507</v>
      </c>
      <c r="J1076" s="1702" t="s">
        <v>1307</v>
      </c>
    </row>
    <row r="1077" spans="1:10" s="1702" customFormat="1" ht="17.100000000000001" customHeight="1">
      <c r="A1077" s="1756"/>
      <c r="B1077" s="3002"/>
      <c r="C1077" s="3008" t="s">
        <v>992</v>
      </c>
      <c r="D1077" s="3007" t="s">
        <v>991</v>
      </c>
      <c r="E1077" s="3006">
        <v>4000</v>
      </c>
      <c r="F1077" s="3005">
        <v>2000</v>
      </c>
      <c r="G1077" s="2686">
        <v>3000</v>
      </c>
      <c r="H1077" s="3004">
        <f t="shared" si="74"/>
        <v>1.5</v>
      </c>
      <c r="J1077" s="1702" t="s">
        <v>1121</v>
      </c>
    </row>
    <row r="1078" spans="1:10" s="1702" customFormat="1" ht="17.100000000000001" customHeight="1" thickBot="1">
      <c r="A1078" s="1756"/>
      <c r="B1078" s="3002"/>
      <c r="C1078" s="3018" t="s">
        <v>990</v>
      </c>
      <c r="D1078" s="3017" t="s">
        <v>989</v>
      </c>
      <c r="E1078" s="3006">
        <v>8000</v>
      </c>
      <c r="F1078" s="3005">
        <v>3000</v>
      </c>
      <c r="G1078" s="2686">
        <f>25000+6750</f>
        <v>31750</v>
      </c>
      <c r="H1078" s="2617">
        <f t="shared" si="74"/>
        <v>10.583333333333334</v>
      </c>
      <c r="J1078" s="1702" t="s">
        <v>1306</v>
      </c>
    </row>
    <row r="1079" spans="1:10" s="1702" customFormat="1" ht="17.100000000000001" customHeight="1">
      <c r="A1079" s="1831"/>
      <c r="B1079" s="2805"/>
      <c r="C1079" s="2709" t="s">
        <v>988</v>
      </c>
      <c r="D1079" s="2741" t="s">
        <v>987</v>
      </c>
      <c r="E1079" s="2955">
        <v>373027</v>
      </c>
      <c r="F1079" s="2500">
        <v>371379</v>
      </c>
      <c r="G1079" s="1802">
        <f>256481+170000</f>
        <v>426481</v>
      </c>
      <c r="H1079" s="2099">
        <f t="shared" si="74"/>
        <v>1.1483713403288824</v>
      </c>
      <c r="J1079" s="1702" t="s">
        <v>1305</v>
      </c>
    </row>
    <row r="1080" spans="1:10" s="1702" customFormat="1" ht="17.100000000000001" customHeight="1">
      <c r="A1080" s="1756"/>
      <c r="B1080" s="3002"/>
      <c r="C1080" s="3008" t="s">
        <v>1304</v>
      </c>
      <c r="D1080" s="3007" t="s">
        <v>1303</v>
      </c>
      <c r="E1080" s="3006">
        <v>63000</v>
      </c>
      <c r="F1080" s="3005">
        <v>64000</v>
      </c>
      <c r="G1080" s="2686">
        <f>15000+50000</f>
        <v>65000</v>
      </c>
      <c r="H1080" s="3004">
        <f t="shared" si="74"/>
        <v>1.015625</v>
      </c>
      <c r="J1080" s="1702" t="s">
        <v>1302</v>
      </c>
    </row>
    <row r="1081" spans="1:10" s="1702" customFormat="1" ht="16.5" hidden="1" customHeight="1">
      <c r="A1081" s="1756"/>
      <c r="B1081" s="3002"/>
      <c r="C1081" s="3008" t="s">
        <v>1293</v>
      </c>
      <c r="D1081" s="3007"/>
      <c r="E1081" s="3006">
        <v>0</v>
      </c>
      <c r="F1081" s="3005">
        <v>0</v>
      </c>
      <c r="G1081" s="2686"/>
      <c r="H1081" s="3004" t="e">
        <f t="shared" si="74"/>
        <v>#DIV/0!</v>
      </c>
    </row>
    <row r="1082" spans="1:10" s="1702" customFormat="1" ht="17.100000000000001" hidden="1" customHeight="1">
      <c r="A1082" s="1756"/>
      <c r="B1082" s="3002"/>
      <c r="C1082" s="3008" t="s">
        <v>1239</v>
      </c>
      <c r="D1082" s="3007" t="s">
        <v>1238</v>
      </c>
      <c r="E1082" s="3006">
        <v>0</v>
      </c>
      <c r="F1082" s="3005">
        <v>365488</v>
      </c>
      <c r="G1082" s="2686">
        <v>0</v>
      </c>
      <c r="H1082" s="3004">
        <f t="shared" si="74"/>
        <v>0</v>
      </c>
    </row>
    <row r="1083" spans="1:10" s="1702" customFormat="1" ht="15.75" customHeight="1">
      <c r="A1083" s="1756"/>
      <c r="B1083" s="3002"/>
      <c r="C1083" s="3008" t="s">
        <v>1122</v>
      </c>
      <c r="D1083" s="3007" t="s">
        <v>1118</v>
      </c>
      <c r="E1083" s="3006">
        <v>17114</v>
      </c>
      <c r="F1083" s="3005">
        <v>123387</v>
      </c>
      <c r="G1083" s="2686">
        <f>5000+8181</f>
        <v>13181</v>
      </c>
      <c r="H1083" s="3004">
        <f t="shared" si="74"/>
        <v>0.10682648901423974</v>
      </c>
      <c r="J1083" s="1702" t="s">
        <v>1301</v>
      </c>
    </row>
    <row r="1084" spans="1:10" s="1702" customFormat="1" ht="15.75" hidden="1" customHeight="1">
      <c r="A1084" s="1756"/>
      <c r="B1084" s="3002"/>
      <c r="C1084" s="3013" t="s">
        <v>982</v>
      </c>
      <c r="D1084" s="3012" t="s">
        <v>1087</v>
      </c>
      <c r="E1084" s="3006">
        <v>40000</v>
      </c>
      <c r="F1084" s="3005">
        <v>30000</v>
      </c>
      <c r="G1084" s="2686">
        <v>0</v>
      </c>
      <c r="H1084" s="3004">
        <f t="shared" si="74"/>
        <v>0</v>
      </c>
    </row>
    <row r="1085" spans="1:10" s="1702" customFormat="1" ht="15.75" hidden="1" customHeight="1">
      <c r="A1085" s="1756"/>
      <c r="B1085" s="3002"/>
      <c r="C1085" s="3016"/>
      <c r="D1085" s="3015"/>
      <c r="E1085" s="3006"/>
      <c r="F1085" s="3005"/>
      <c r="G1085" s="2686"/>
      <c r="H1085" s="3004"/>
    </row>
    <row r="1086" spans="1:10" s="1702" customFormat="1" ht="16.5" hidden="1" customHeight="1">
      <c r="A1086" s="1756"/>
      <c r="B1086" s="3002"/>
      <c r="C1086" s="4365" t="s">
        <v>943</v>
      </c>
      <c r="D1086" s="4340"/>
      <c r="E1086" s="3005">
        <f>SUM(E1087)</f>
        <v>0</v>
      </c>
      <c r="F1086" s="3005">
        <f>SUM(F1087)</f>
        <v>23625</v>
      </c>
      <c r="G1086" s="2686">
        <f>SUM(G1087)</f>
        <v>0</v>
      </c>
      <c r="H1086" s="3004">
        <f>G1086/F1086</f>
        <v>0</v>
      </c>
    </row>
    <row r="1087" spans="1:10" s="1702" customFormat="1" ht="38.25" hidden="1">
      <c r="A1087" s="1756"/>
      <c r="B1087" s="3002"/>
      <c r="C1087" s="3014" t="s">
        <v>91</v>
      </c>
      <c r="D1087" s="2629" t="s">
        <v>942</v>
      </c>
      <c r="E1087" s="3006">
        <v>0</v>
      </c>
      <c r="F1087" s="3005">
        <v>23625</v>
      </c>
      <c r="G1087" s="2686">
        <v>0</v>
      </c>
      <c r="H1087" s="3004">
        <f>G1087/F1087</f>
        <v>0</v>
      </c>
    </row>
    <row r="1088" spans="1:10" s="1702" customFormat="1" ht="38.25" hidden="1" customHeight="1">
      <c r="A1088" s="1756"/>
      <c r="B1088" s="3002"/>
      <c r="C1088" s="3013" t="s">
        <v>1300</v>
      </c>
      <c r="D1088" s="3012" t="s">
        <v>1299</v>
      </c>
      <c r="E1088" s="3006">
        <v>0</v>
      </c>
      <c r="F1088" s="3005"/>
      <c r="G1088" s="2686"/>
      <c r="H1088" s="3004" t="e">
        <f>G1088/F1088</f>
        <v>#DIV/0!</v>
      </c>
    </row>
    <row r="1089" spans="1:10" s="1702" customFormat="1" ht="15" hidden="1" customHeight="1">
      <c r="A1089" s="1756"/>
      <c r="B1089" s="3002"/>
      <c r="C1089" s="3008" t="s">
        <v>982</v>
      </c>
      <c r="D1089" s="3011" t="s">
        <v>1087</v>
      </c>
      <c r="E1089" s="3006">
        <v>0</v>
      </c>
      <c r="F1089" s="3005"/>
      <c r="G1089" s="2686"/>
      <c r="H1089" s="3004" t="e">
        <f>G1089/F1089</f>
        <v>#DIV/0!</v>
      </c>
    </row>
    <row r="1090" spans="1:10" s="1702" customFormat="1" ht="17.100000000000001" customHeight="1">
      <c r="A1090" s="1756"/>
      <c r="B1090" s="3002"/>
      <c r="C1090" s="3010"/>
      <c r="D1090" s="3009"/>
      <c r="E1090" s="3006"/>
      <c r="F1090" s="3005"/>
      <c r="G1090" s="2686"/>
      <c r="H1090" s="3004"/>
    </row>
    <row r="1091" spans="1:10" s="1702" customFormat="1" ht="17.100000000000001" customHeight="1">
      <c r="A1091" s="1756"/>
      <c r="B1091" s="3002"/>
      <c r="C1091" s="4461" t="s">
        <v>1199</v>
      </c>
      <c r="D1091" s="4462"/>
      <c r="E1091" s="3006">
        <f>SUM(E1092)</f>
        <v>25153</v>
      </c>
      <c r="F1091" s="3006">
        <f>SUM(F1092)</f>
        <v>25153</v>
      </c>
      <c r="G1091" s="2980">
        <f>SUM(G1092)</f>
        <v>5200</v>
      </c>
      <c r="H1091" s="3004">
        <f>G1091/F1091</f>
        <v>0.20673478312726115</v>
      </c>
    </row>
    <row r="1092" spans="1:10" s="1702" customFormat="1" ht="17.100000000000001" customHeight="1">
      <c r="A1092" s="1756"/>
      <c r="B1092" s="3002"/>
      <c r="C1092" s="3008" t="s">
        <v>978</v>
      </c>
      <c r="D1092" s="3007" t="s">
        <v>977</v>
      </c>
      <c r="E1092" s="3006">
        <v>25153</v>
      </c>
      <c r="F1092" s="3005">
        <v>25153</v>
      </c>
      <c r="G1092" s="2686">
        <v>5200</v>
      </c>
      <c r="H1092" s="3004">
        <f>G1092/F1092</f>
        <v>0.20673478312726115</v>
      </c>
      <c r="J1092" s="1702" t="s">
        <v>1298</v>
      </c>
    </row>
    <row r="1093" spans="1:10" s="1702" customFormat="1" ht="17.100000000000001" customHeight="1" thickBot="1">
      <c r="A1093" s="1743"/>
      <c r="B1093" s="2804"/>
      <c r="C1093" s="4463"/>
      <c r="D1093" s="4464"/>
      <c r="E1093" s="2822"/>
      <c r="F1093" s="2636"/>
      <c r="G1093" s="1738"/>
      <c r="H1093" s="2915"/>
    </row>
    <row r="1094" spans="1:10" s="1702" customFormat="1" ht="17.100000000000001" customHeight="1">
      <c r="A1094" s="1831"/>
      <c r="B1094" s="3002"/>
      <c r="C1094" s="4465" t="s">
        <v>976</v>
      </c>
      <c r="D1094" s="4466"/>
      <c r="E1094" s="2955">
        <f>SUM(E1095:E1158)</f>
        <v>4274773</v>
      </c>
      <c r="F1094" s="2955">
        <f>SUM(F1095:F1158)</f>
        <v>7835861</v>
      </c>
      <c r="G1094" s="3003">
        <f>SUM(G1095:G1158)</f>
        <v>8781589</v>
      </c>
      <c r="H1094" s="2503">
        <f t="shared" ref="H1094:H1139" si="75">G1094/F1094</f>
        <v>1.1206922889520372</v>
      </c>
      <c r="J1094" s="1702" t="s">
        <v>1285</v>
      </c>
    </row>
    <row r="1095" spans="1:10" s="1702" customFormat="1" ht="64.5" customHeight="1">
      <c r="A1095" s="1756"/>
      <c r="B1095" s="3002"/>
      <c r="C1095" s="2963" t="s">
        <v>196</v>
      </c>
      <c r="D1095" s="2628" t="s">
        <v>1192</v>
      </c>
      <c r="E1095" s="2951">
        <v>501117</v>
      </c>
      <c r="F1095" s="2916">
        <v>432440</v>
      </c>
      <c r="G1095" s="2999">
        <v>290967</v>
      </c>
      <c r="H1095" s="2915">
        <f t="shared" si="75"/>
        <v>0.67284941263527887</v>
      </c>
    </row>
    <row r="1096" spans="1:10" s="1702" customFormat="1" ht="65.25" hidden="1" customHeight="1">
      <c r="A1096" s="1756"/>
      <c r="B1096" s="3002"/>
      <c r="C1096" s="2963" t="s">
        <v>480</v>
      </c>
      <c r="D1096" s="2628" t="s">
        <v>1192</v>
      </c>
      <c r="E1096" s="2951">
        <v>0</v>
      </c>
      <c r="F1096" s="2916"/>
      <c r="G1096" s="2999"/>
      <c r="H1096" s="2915" t="e">
        <f t="shared" si="75"/>
        <v>#DIV/0!</v>
      </c>
    </row>
    <row r="1097" spans="1:10" s="1702" customFormat="1" ht="65.25" customHeight="1">
      <c r="A1097" s="1756"/>
      <c r="B1097" s="2805"/>
      <c r="C1097" s="2963" t="s">
        <v>359</v>
      </c>
      <c r="D1097" s="3001" t="s">
        <v>1192</v>
      </c>
      <c r="E1097" s="2951">
        <v>30658</v>
      </c>
      <c r="F1097" s="2916">
        <v>27181</v>
      </c>
      <c r="G1097" s="2999">
        <v>17618</v>
      </c>
      <c r="H1097" s="2915">
        <f t="shared" si="75"/>
        <v>0.64817335638865381</v>
      </c>
    </row>
    <row r="1098" spans="1:10" s="1702" customFormat="1" ht="52.5" customHeight="1">
      <c r="A1098" s="1831"/>
      <c r="B1098" s="3002"/>
      <c r="C1098" s="3000" t="s">
        <v>183</v>
      </c>
      <c r="D1098" s="2628" t="s">
        <v>1226</v>
      </c>
      <c r="E1098" s="2955">
        <v>298291</v>
      </c>
      <c r="F1098" s="2500">
        <v>345819</v>
      </c>
      <c r="G1098" s="2999">
        <v>2484113</v>
      </c>
      <c r="H1098" s="2503">
        <f t="shared" si="75"/>
        <v>7.183275065858151</v>
      </c>
    </row>
    <row r="1099" spans="1:10" s="1702" customFormat="1" ht="52.5" customHeight="1">
      <c r="A1099" s="1831"/>
      <c r="B1099" s="2805"/>
      <c r="C1099" s="2963" t="s">
        <v>185</v>
      </c>
      <c r="D1099" s="3001" t="s">
        <v>1226</v>
      </c>
      <c r="E1099" s="2951">
        <v>18064</v>
      </c>
      <c r="F1099" s="2916">
        <v>20942</v>
      </c>
      <c r="G1099" s="2999">
        <v>150432</v>
      </c>
      <c r="H1099" s="2915">
        <f t="shared" si="75"/>
        <v>7.1832680737274375</v>
      </c>
    </row>
    <row r="1100" spans="1:10" s="1702" customFormat="1" ht="52.5" hidden="1" customHeight="1">
      <c r="A1100" s="1756"/>
      <c r="B1100" s="2805"/>
      <c r="C1100" s="3000" t="s">
        <v>364</v>
      </c>
      <c r="D1100" s="2628" t="s">
        <v>1116</v>
      </c>
      <c r="E1100" s="2955">
        <v>0</v>
      </c>
      <c r="F1100" s="2916"/>
      <c r="G1100" s="2686"/>
      <c r="H1100" s="2915" t="e">
        <f t="shared" si="75"/>
        <v>#DIV/0!</v>
      </c>
    </row>
    <row r="1101" spans="1:10" s="1702" customFormat="1" ht="52.5" hidden="1" customHeight="1">
      <c r="A1101" s="1756"/>
      <c r="B1101" s="2805"/>
      <c r="C1101" s="2963" t="s">
        <v>300</v>
      </c>
      <c r="D1101" s="2628" t="s">
        <v>1116</v>
      </c>
      <c r="E1101" s="2951">
        <v>0</v>
      </c>
      <c r="F1101" s="2916"/>
      <c r="G1101" s="2686"/>
      <c r="H1101" s="2915" t="e">
        <f t="shared" si="75"/>
        <v>#DIV/0!</v>
      </c>
    </row>
    <row r="1102" spans="1:10" s="1702" customFormat="1" ht="22.5" hidden="1" customHeight="1">
      <c r="A1102" s="1831"/>
      <c r="B1102" s="2805"/>
      <c r="C1102" s="2963" t="s">
        <v>346</v>
      </c>
      <c r="D1102" s="2628" t="s">
        <v>1115</v>
      </c>
      <c r="E1102" s="2951">
        <v>0</v>
      </c>
      <c r="F1102" s="2916">
        <v>282870</v>
      </c>
      <c r="G1102" s="2686">
        <v>0</v>
      </c>
      <c r="H1102" s="2915">
        <f t="shared" si="75"/>
        <v>0</v>
      </c>
    </row>
    <row r="1103" spans="1:10" s="1702" customFormat="1" ht="19.5" hidden="1" customHeight="1">
      <c r="A1103" s="1756"/>
      <c r="B1103" s="2805"/>
      <c r="C1103" s="2963" t="s">
        <v>301</v>
      </c>
      <c r="D1103" s="2628" t="s">
        <v>1115</v>
      </c>
      <c r="E1103" s="2951">
        <v>0</v>
      </c>
      <c r="F1103" s="2916">
        <v>17130</v>
      </c>
      <c r="G1103" s="2686">
        <v>0</v>
      </c>
      <c r="H1103" s="2915">
        <f t="shared" si="75"/>
        <v>0</v>
      </c>
    </row>
    <row r="1104" spans="1:10" s="1702" customFormat="1" ht="15.75" hidden="1" customHeight="1">
      <c r="A1104" s="1756"/>
      <c r="B1104" s="2805"/>
      <c r="C1104" s="2963" t="s">
        <v>501</v>
      </c>
      <c r="D1104" s="2628" t="s">
        <v>1115</v>
      </c>
      <c r="E1104" s="2951">
        <v>0</v>
      </c>
      <c r="F1104" s="2916"/>
      <c r="G1104" s="2686"/>
      <c r="H1104" s="2915" t="e">
        <f t="shared" si="75"/>
        <v>#DIV/0!</v>
      </c>
    </row>
    <row r="1105" spans="1:10" s="1702" customFormat="1" ht="15.75" customHeight="1">
      <c r="A1105" s="1756"/>
      <c r="B1105" s="2805"/>
      <c r="C1105" s="2709" t="s">
        <v>462</v>
      </c>
      <c r="D1105" s="2993" t="s">
        <v>1015</v>
      </c>
      <c r="E1105" s="2951">
        <v>143500</v>
      </c>
      <c r="F1105" s="2916">
        <v>256237</v>
      </c>
      <c r="G1105" s="2999">
        <v>18991</v>
      </c>
      <c r="H1105" s="2915">
        <f t="shared" si="75"/>
        <v>7.4114979491642502E-2</v>
      </c>
    </row>
    <row r="1106" spans="1:10" s="1702" customFormat="1" ht="17.100000000000001" customHeight="1">
      <c r="A1106" s="1756"/>
      <c r="B1106" s="2805"/>
      <c r="C1106" s="2709" t="s">
        <v>479</v>
      </c>
      <c r="D1106" s="2993" t="s">
        <v>1015</v>
      </c>
      <c r="E1106" s="2951">
        <v>1064729</v>
      </c>
      <c r="F1106" s="2916">
        <v>1473807</v>
      </c>
      <c r="G1106" s="2999">
        <f>73732+379080+400000</f>
        <v>852812</v>
      </c>
      <c r="H1106" s="2915">
        <f t="shared" si="75"/>
        <v>0.57864564356119896</v>
      </c>
      <c r="J1106" s="1702" t="s">
        <v>1291</v>
      </c>
    </row>
    <row r="1107" spans="1:10" s="1702" customFormat="1" ht="17.100000000000001" customHeight="1">
      <c r="A1107" s="1756"/>
      <c r="B1107" s="2805"/>
      <c r="C1107" s="2994" t="s">
        <v>461</v>
      </c>
      <c r="D1107" s="2993" t="s">
        <v>1015</v>
      </c>
      <c r="E1107" s="2951">
        <v>213168</v>
      </c>
      <c r="F1107" s="2916">
        <v>224872</v>
      </c>
      <c r="G1107" s="2999">
        <f>1151+13011+66897</f>
        <v>81059</v>
      </c>
      <c r="H1107" s="2915">
        <f t="shared" si="75"/>
        <v>0.3604672880572059</v>
      </c>
      <c r="J1107" s="1702" t="s">
        <v>1290</v>
      </c>
    </row>
    <row r="1108" spans="1:10" s="1702" customFormat="1" ht="17.100000000000001" customHeight="1">
      <c r="A1108" s="1756"/>
      <c r="B1108" s="2805"/>
      <c r="C1108" s="2996" t="s">
        <v>536</v>
      </c>
      <c r="D1108" s="2995" t="s">
        <v>1013</v>
      </c>
      <c r="E1108" s="2951">
        <v>75735</v>
      </c>
      <c r="F1108" s="2916">
        <v>103367</v>
      </c>
      <c r="G1108" s="2686">
        <f>5950+84745+30000</f>
        <v>120695</v>
      </c>
      <c r="H1108" s="2915">
        <f t="shared" si="75"/>
        <v>1.1676357057861793</v>
      </c>
      <c r="J1108" s="1702" t="s">
        <v>1295</v>
      </c>
    </row>
    <row r="1109" spans="1:10" s="1702" customFormat="1" ht="17.100000000000001" customHeight="1">
      <c r="A1109" s="1756"/>
      <c r="B1109" s="2805"/>
      <c r="C1109" s="2709" t="s">
        <v>493</v>
      </c>
      <c r="D1109" s="2741" t="s">
        <v>1013</v>
      </c>
      <c r="E1109" s="2955">
        <v>13365</v>
      </c>
      <c r="F1109" s="2916">
        <v>12948</v>
      </c>
      <c r="G1109" s="2686">
        <f>1050+14955</f>
        <v>16005</v>
      </c>
      <c r="H1109" s="2915">
        <f t="shared" si="75"/>
        <v>1.2360982391102873</v>
      </c>
      <c r="J1109" s="1702" t="s">
        <v>1121</v>
      </c>
    </row>
    <row r="1110" spans="1:10" s="1702" customFormat="1" ht="17.100000000000001" customHeight="1">
      <c r="A1110" s="1756"/>
      <c r="B1110" s="2805"/>
      <c r="C1110" s="2994" t="s">
        <v>460</v>
      </c>
      <c r="D1110" s="2993" t="s">
        <v>964</v>
      </c>
      <c r="E1110" s="2951">
        <v>24803</v>
      </c>
      <c r="F1110" s="2916">
        <v>44551</v>
      </c>
      <c r="G1110" s="2999">
        <v>3265</v>
      </c>
      <c r="H1110" s="2915">
        <f t="shared" si="75"/>
        <v>7.3286794909205186E-2</v>
      </c>
    </row>
    <row r="1111" spans="1:10" s="1702" customFormat="1" ht="17.100000000000001" customHeight="1">
      <c r="A1111" s="1756"/>
      <c r="B1111" s="2805"/>
      <c r="C1111" s="2994" t="s">
        <v>478</v>
      </c>
      <c r="D1111" s="2993" t="s">
        <v>964</v>
      </c>
      <c r="E1111" s="2951">
        <v>195576</v>
      </c>
      <c r="F1111" s="2916">
        <v>274472</v>
      </c>
      <c r="G1111" s="2999">
        <f>12674+75626+70000</f>
        <v>158300</v>
      </c>
      <c r="H1111" s="2915">
        <f t="shared" si="75"/>
        <v>0.57674371156256377</v>
      </c>
      <c r="J1111" s="1702" t="s">
        <v>1291</v>
      </c>
    </row>
    <row r="1112" spans="1:10" s="1702" customFormat="1" ht="17.100000000000001" customHeight="1">
      <c r="A1112" s="1756"/>
      <c r="B1112" s="2805"/>
      <c r="C1112" s="2994" t="s">
        <v>459</v>
      </c>
      <c r="D1112" s="2993" t="s">
        <v>964</v>
      </c>
      <c r="E1112" s="2951">
        <v>38875</v>
      </c>
      <c r="F1112" s="2916">
        <v>42035</v>
      </c>
      <c r="G1112" s="2999">
        <f>198+2237+13346</f>
        <v>15781</v>
      </c>
      <c r="H1112" s="2915">
        <f t="shared" si="75"/>
        <v>0.375425240870703</v>
      </c>
      <c r="J1112" s="1702" t="s">
        <v>1290</v>
      </c>
    </row>
    <row r="1113" spans="1:10" s="1702" customFormat="1" ht="16.5" customHeight="1">
      <c r="A1113" s="1756"/>
      <c r="B1113" s="2805"/>
      <c r="C1113" s="2994" t="s">
        <v>458</v>
      </c>
      <c r="D1113" s="2993" t="s">
        <v>962</v>
      </c>
      <c r="E1113" s="2951">
        <v>3460</v>
      </c>
      <c r="F1113" s="2916">
        <v>6161</v>
      </c>
      <c r="G1113" s="2999">
        <v>466</v>
      </c>
      <c r="H1113" s="2915">
        <f t="shared" si="75"/>
        <v>7.563707190391171E-2</v>
      </c>
    </row>
    <row r="1114" spans="1:10" s="1702" customFormat="1" ht="16.5" customHeight="1">
      <c r="A1114" s="1756"/>
      <c r="B1114" s="2805"/>
      <c r="C1114" s="2994" t="s">
        <v>477</v>
      </c>
      <c r="D1114" s="2993" t="s">
        <v>962</v>
      </c>
      <c r="E1114" s="2951">
        <v>28468</v>
      </c>
      <c r="F1114" s="2916">
        <v>40312</v>
      </c>
      <c r="G1114" s="2999">
        <f>1806+9463+10000</f>
        <v>21269</v>
      </c>
      <c r="H1114" s="2915">
        <f t="shared" si="75"/>
        <v>0.52760964477078787</v>
      </c>
      <c r="J1114" s="1702" t="s">
        <v>1291</v>
      </c>
    </row>
    <row r="1115" spans="1:10" s="1702" customFormat="1" ht="16.5" customHeight="1">
      <c r="A1115" s="1756"/>
      <c r="B1115" s="2805"/>
      <c r="C1115" s="2994" t="s">
        <v>457</v>
      </c>
      <c r="D1115" s="2993" t="s">
        <v>962</v>
      </c>
      <c r="E1115" s="2951">
        <v>5632</v>
      </c>
      <c r="F1115" s="2916">
        <v>6061</v>
      </c>
      <c r="G1115" s="2999">
        <f>29+319+1670</f>
        <v>2018</v>
      </c>
      <c r="H1115" s="2915">
        <f t="shared" si="75"/>
        <v>0.33294835835670683</v>
      </c>
      <c r="J1115" s="1702" t="s">
        <v>1290</v>
      </c>
    </row>
    <row r="1116" spans="1:10" s="1702" customFormat="1" ht="17.100000000000001" hidden="1" customHeight="1">
      <c r="A1116" s="1756"/>
      <c r="B1116" s="2805"/>
      <c r="C1116" s="2994" t="s">
        <v>456</v>
      </c>
      <c r="D1116" s="2993" t="s">
        <v>973</v>
      </c>
      <c r="E1116" s="2951">
        <v>0</v>
      </c>
      <c r="F1116" s="2916"/>
      <c r="G1116" s="2686"/>
      <c r="H1116" s="2915" t="e">
        <f t="shared" si="75"/>
        <v>#DIV/0!</v>
      </c>
    </row>
    <row r="1117" spans="1:10" s="1702" customFormat="1" ht="17.100000000000001" hidden="1" customHeight="1">
      <c r="A1117" s="1756"/>
      <c r="B1117" s="2805"/>
      <c r="C1117" s="2994" t="s">
        <v>535</v>
      </c>
      <c r="D1117" s="2993" t="s">
        <v>973</v>
      </c>
      <c r="E1117" s="2951">
        <v>0</v>
      </c>
      <c r="F1117" s="2916"/>
      <c r="G1117" s="2686"/>
      <c r="H1117" s="2915" t="e">
        <f t="shared" si="75"/>
        <v>#DIV/0!</v>
      </c>
    </row>
    <row r="1118" spans="1:10" s="1702" customFormat="1" ht="17.100000000000001" hidden="1" customHeight="1">
      <c r="A1118" s="1756"/>
      <c r="B1118" s="2805"/>
      <c r="C1118" s="2994" t="s">
        <v>455</v>
      </c>
      <c r="D1118" s="2993" t="s">
        <v>973</v>
      </c>
      <c r="E1118" s="2951">
        <v>0</v>
      </c>
      <c r="F1118" s="2916"/>
      <c r="G1118" s="2686"/>
      <c r="H1118" s="2915" t="e">
        <f t="shared" si="75"/>
        <v>#DIV/0!</v>
      </c>
    </row>
    <row r="1119" spans="1:10" s="1702" customFormat="1" ht="17.100000000000001" hidden="1" customHeight="1">
      <c r="A1119" s="1756"/>
      <c r="B1119" s="2805"/>
      <c r="C1119" s="2994" t="s">
        <v>613</v>
      </c>
      <c r="D1119" s="2993" t="s">
        <v>960</v>
      </c>
      <c r="E1119" s="2951">
        <v>0</v>
      </c>
      <c r="F1119" s="2916"/>
      <c r="G1119" s="2686"/>
      <c r="H1119" s="2915" t="e">
        <f t="shared" si="75"/>
        <v>#DIV/0!</v>
      </c>
    </row>
    <row r="1120" spans="1:10" s="1702" customFormat="1" ht="17.100000000000001" customHeight="1">
      <c r="A1120" s="1756"/>
      <c r="B1120" s="2805"/>
      <c r="C1120" s="2994" t="s">
        <v>450</v>
      </c>
      <c r="D1120" s="2993" t="s">
        <v>960</v>
      </c>
      <c r="E1120" s="2951">
        <v>122618</v>
      </c>
      <c r="F1120" s="2916">
        <v>247550</v>
      </c>
      <c r="G1120" s="2686">
        <v>258485</v>
      </c>
      <c r="H1120" s="2915">
        <f t="shared" si="75"/>
        <v>1.0441728943647748</v>
      </c>
    </row>
    <row r="1121" spans="1:10" s="1702" customFormat="1" ht="17.100000000000001" customHeight="1">
      <c r="A1121" s="1756"/>
      <c r="B1121" s="2805"/>
      <c r="C1121" s="2994" t="s">
        <v>533</v>
      </c>
      <c r="D1121" s="2993" t="s">
        <v>960</v>
      </c>
      <c r="E1121" s="2951">
        <v>54396</v>
      </c>
      <c r="F1121" s="2916">
        <v>212901</v>
      </c>
      <c r="G1121" s="2686">
        <f>7207+150000</f>
        <v>157207</v>
      </c>
      <c r="H1121" s="2915">
        <f t="shared" si="75"/>
        <v>0.73840423483215201</v>
      </c>
      <c r="J1121" s="1702" t="s">
        <v>1295</v>
      </c>
    </row>
    <row r="1122" spans="1:10" s="1702" customFormat="1" ht="15">
      <c r="A1122" s="1756"/>
      <c r="B1122" s="2805"/>
      <c r="C1122" s="2994" t="s">
        <v>449</v>
      </c>
      <c r="D1122" s="2993" t="s">
        <v>960</v>
      </c>
      <c r="E1122" s="2951">
        <v>28176</v>
      </c>
      <c r="F1122" s="2916">
        <v>51091</v>
      </c>
      <c r="G1122" s="2686">
        <f>47502+1271</f>
        <v>48773</v>
      </c>
      <c r="H1122" s="2915">
        <f t="shared" si="75"/>
        <v>0.95462997396801785</v>
      </c>
      <c r="J1122" s="1702" t="s">
        <v>1121</v>
      </c>
    </row>
    <row r="1123" spans="1:10" s="1702" customFormat="1" ht="15">
      <c r="A1123" s="1756"/>
      <c r="B1123" s="2805"/>
      <c r="C1123" s="2994" t="s">
        <v>561</v>
      </c>
      <c r="D1123" s="2993" t="s">
        <v>1007</v>
      </c>
      <c r="E1123" s="2951">
        <v>0</v>
      </c>
      <c r="F1123" s="2916">
        <v>5000</v>
      </c>
      <c r="G1123" s="2686">
        <v>4000</v>
      </c>
      <c r="H1123" s="2915">
        <f t="shared" si="75"/>
        <v>0.8</v>
      </c>
      <c r="J1123" s="1702" t="s">
        <v>1286</v>
      </c>
    </row>
    <row r="1124" spans="1:10" s="1702" customFormat="1" ht="15" hidden="1">
      <c r="A1124" s="1756"/>
      <c r="B1124" s="2805"/>
      <c r="C1124" s="2994" t="s">
        <v>470</v>
      </c>
      <c r="D1124" s="2993" t="s">
        <v>1007</v>
      </c>
      <c r="E1124" s="2951">
        <v>0</v>
      </c>
      <c r="F1124" s="2916"/>
      <c r="G1124" s="2686"/>
      <c r="H1124" s="2915" t="e">
        <f t="shared" si="75"/>
        <v>#DIV/0!</v>
      </c>
    </row>
    <row r="1125" spans="1:10" s="1702" customFormat="1" ht="15" hidden="1">
      <c r="A1125" s="1756"/>
      <c r="B1125" s="2805"/>
      <c r="C1125" s="2994" t="s">
        <v>448</v>
      </c>
      <c r="D1125" s="2993" t="s">
        <v>1003</v>
      </c>
      <c r="E1125" s="2951">
        <v>0</v>
      </c>
      <c r="F1125" s="2916"/>
      <c r="G1125" s="2686"/>
      <c r="H1125" s="2915" t="e">
        <f t="shared" si="75"/>
        <v>#DIV/0!</v>
      </c>
    </row>
    <row r="1126" spans="1:10" s="1702" customFormat="1" ht="17.100000000000001" customHeight="1">
      <c r="A1126" s="1756"/>
      <c r="B1126" s="2805"/>
      <c r="C1126" s="2994" t="s">
        <v>532</v>
      </c>
      <c r="D1126" s="2993" t="s">
        <v>1003</v>
      </c>
      <c r="E1126" s="2951">
        <v>16600</v>
      </c>
      <c r="F1126" s="2916">
        <v>25100</v>
      </c>
      <c r="G1126" s="2686">
        <v>10815</v>
      </c>
      <c r="H1126" s="2915">
        <f t="shared" si="75"/>
        <v>0.43087649402390438</v>
      </c>
      <c r="J1126" s="1702" t="s">
        <v>1288</v>
      </c>
    </row>
    <row r="1127" spans="1:10" s="1702" customFormat="1" ht="17.100000000000001" customHeight="1">
      <c r="A1127" s="1756"/>
      <c r="B1127" s="2805"/>
      <c r="C1127" s="2994" t="s">
        <v>447</v>
      </c>
      <c r="D1127" s="2993" t="s">
        <v>1003</v>
      </c>
      <c r="E1127" s="2951">
        <v>2929</v>
      </c>
      <c r="F1127" s="2916">
        <v>4429</v>
      </c>
      <c r="G1127" s="2686">
        <v>1908</v>
      </c>
      <c r="H1127" s="2915">
        <f t="shared" si="75"/>
        <v>0.43079701964326034</v>
      </c>
      <c r="J1127" s="1702" t="s">
        <v>1288</v>
      </c>
    </row>
    <row r="1128" spans="1:10" s="1702" customFormat="1" ht="17.100000000000001" hidden="1" customHeight="1">
      <c r="A1128" s="1756"/>
      <c r="B1128" s="2805"/>
      <c r="C1128" s="2994" t="s">
        <v>531</v>
      </c>
      <c r="D1128" s="2993" t="s">
        <v>1001</v>
      </c>
      <c r="E1128" s="2951">
        <v>0</v>
      </c>
      <c r="F1128" s="2916"/>
      <c r="G1128" s="2686"/>
      <c r="H1128" s="2915" t="e">
        <f t="shared" si="75"/>
        <v>#DIV/0!</v>
      </c>
    </row>
    <row r="1129" spans="1:10" s="1702" customFormat="1" ht="17.100000000000001" hidden="1" customHeight="1" thickBot="1">
      <c r="A1129" s="1756"/>
      <c r="B1129" s="2805"/>
      <c r="C1129" s="2994" t="s">
        <v>513</v>
      </c>
      <c r="D1129" s="2993" t="s">
        <v>1001</v>
      </c>
      <c r="E1129" s="2951">
        <v>0</v>
      </c>
      <c r="F1129" s="2916"/>
      <c r="G1129" s="2686"/>
      <c r="H1129" s="2915" t="e">
        <f t="shared" si="75"/>
        <v>#DIV/0!</v>
      </c>
    </row>
    <row r="1130" spans="1:10" s="1702" customFormat="1" ht="15" hidden="1">
      <c r="A1130" s="1756"/>
      <c r="B1130" s="2805"/>
      <c r="C1130" s="2998" t="s">
        <v>959</v>
      </c>
      <c r="D1130" s="2997" t="s">
        <v>958</v>
      </c>
      <c r="E1130" s="2951">
        <v>0</v>
      </c>
      <c r="F1130" s="2916">
        <v>445339</v>
      </c>
      <c r="G1130" s="2686">
        <v>0</v>
      </c>
      <c r="H1130" s="2915">
        <f t="shared" si="75"/>
        <v>0</v>
      </c>
    </row>
    <row r="1131" spans="1:10" s="1702" customFormat="1" ht="17.100000000000001" customHeight="1">
      <c r="A1131" s="1831"/>
      <c r="B1131" s="2805"/>
      <c r="C1131" s="2709" t="s">
        <v>446</v>
      </c>
      <c r="D1131" s="2741" t="s">
        <v>958</v>
      </c>
      <c r="E1131" s="2955">
        <v>753296</v>
      </c>
      <c r="F1131" s="2500">
        <v>1654682</v>
      </c>
      <c r="G1131" s="1802">
        <v>65060</v>
      </c>
      <c r="H1131" s="2503">
        <f t="shared" si="75"/>
        <v>3.9318733146308474E-2</v>
      </c>
    </row>
    <row r="1132" spans="1:10" s="1702" customFormat="1" ht="17.100000000000001" customHeight="1">
      <c r="A1132" s="1756"/>
      <c r="B1132" s="2805"/>
      <c r="C1132" s="2994" t="s">
        <v>529</v>
      </c>
      <c r="D1132" s="2993" t="s">
        <v>958</v>
      </c>
      <c r="E1132" s="2951">
        <v>313729</v>
      </c>
      <c r="F1132" s="2916">
        <v>1102276</v>
      </c>
      <c r="G1132" s="2686">
        <f>2669433+34680+35870+675000</f>
        <v>3414983</v>
      </c>
      <c r="H1132" s="2915">
        <f t="shared" si="75"/>
        <v>3.0981197086755041</v>
      </c>
      <c r="J1132" s="1702" t="s">
        <v>1297</v>
      </c>
    </row>
    <row r="1133" spans="1:10" s="1702" customFormat="1" ht="17.100000000000001" customHeight="1">
      <c r="A1133" s="1756"/>
      <c r="B1133" s="2805"/>
      <c r="C1133" s="2994" t="s">
        <v>445</v>
      </c>
      <c r="D1133" s="2993" t="s">
        <v>958</v>
      </c>
      <c r="E1133" s="2951">
        <v>149183</v>
      </c>
      <c r="F1133" s="2916">
        <v>262047</v>
      </c>
      <c r="G1133" s="2686">
        <f>3940+471076+6120+6330</f>
        <v>487466</v>
      </c>
      <c r="H1133" s="2915">
        <f t="shared" si="75"/>
        <v>1.860223547684194</v>
      </c>
      <c r="J1133" s="1702" t="s">
        <v>1296</v>
      </c>
    </row>
    <row r="1134" spans="1:10" s="1702" customFormat="1" ht="17.100000000000001" hidden="1" customHeight="1">
      <c r="A1134" s="1756"/>
      <c r="B1134" s="2805"/>
      <c r="C1134" s="2994" t="s">
        <v>444</v>
      </c>
      <c r="D1134" s="2993" t="s">
        <v>997</v>
      </c>
      <c r="E1134" s="2951">
        <v>0</v>
      </c>
      <c r="F1134" s="2916"/>
      <c r="G1134" s="2686"/>
      <c r="H1134" s="2915" t="e">
        <f t="shared" si="75"/>
        <v>#DIV/0!</v>
      </c>
    </row>
    <row r="1135" spans="1:10" s="1702" customFormat="1" ht="17.100000000000001" customHeight="1">
      <c r="A1135" s="1756"/>
      <c r="B1135" s="2805"/>
      <c r="C1135" s="2994" t="s">
        <v>528</v>
      </c>
      <c r="D1135" s="2993" t="s">
        <v>997</v>
      </c>
      <c r="E1135" s="2951">
        <v>1020</v>
      </c>
      <c r="F1135" s="2916">
        <v>9130</v>
      </c>
      <c r="G1135" s="2686">
        <f>1020+5000</f>
        <v>6020</v>
      </c>
      <c r="H1135" s="2915">
        <f t="shared" si="75"/>
        <v>0.65936473165388831</v>
      </c>
      <c r="J1135" s="1702" t="s">
        <v>1289</v>
      </c>
    </row>
    <row r="1136" spans="1:10" s="1702" customFormat="1" ht="17.100000000000001" customHeight="1">
      <c r="A1136" s="1831"/>
      <c r="B1136" s="2805"/>
      <c r="C1136" s="2996" t="s">
        <v>443</v>
      </c>
      <c r="D1136" s="2995" t="s">
        <v>997</v>
      </c>
      <c r="E1136" s="2951">
        <v>180</v>
      </c>
      <c r="F1136" s="2916">
        <v>200</v>
      </c>
      <c r="G1136" s="2686">
        <v>180</v>
      </c>
      <c r="H1136" s="2915">
        <f t="shared" si="75"/>
        <v>0.9</v>
      </c>
      <c r="J1136" s="1702" t="s">
        <v>1288</v>
      </c>
    </row>
    <row r="1137" spans="1:10" s="1702" customFormat="1" ht="17.100000000000001" customHeight="1">
      <c r="A1137" s="1756"/>
      <c r="B1137" s="2805"/>
      <c r="C1137" s="2709" t="s">
        <v>527</v>
      </c>
      <c r="D1137" s="2741" t="s">
        <v>1119</v>
      </c>
      <c r="E1137" s="2955">
        <v>850</v>
      </c>
      <c r="F1137" s="2500">
        <v>20850</v>
      </c>
      <c r="G1137" s="1802">
        <v>20000</v>
      </c>
      <c r="H1137" s="2503">
        <f t="shared" si="75"/>
        <v>0.95923261390887293</v>
      </c>
      <c r="J1137" s="1702" t="s">
        <v>1286</v>
      </c>
    </row>
    <row r="1138" spans="1:10" s="1702" customFormat="1" ht="17.100000000000001" hidden="1" customHeight="1">
      <c r="A1138" s="1756"/>
      <c r="B1138" s="2805"/>
      <c r="C1138" s="2994" t="s">
        <v>526</v>
      </c>
      <c r="D1138" s="2993" t="s">
        <v>1119</v>
      </c>
      <c r="E1138" s="2951">
        <v>150</v>
      </c>
      <c r="F1138" s="2916">
        <v>150</v>
      </c>
      <c r="G1138" s="2686">
        <v>0</v>
      </c>
      <c r="H1138" s="2915">
        <f t="shared" si="75"/>
        <v>0</v>
      </c>
    </row>
    <row r="1139" spans="1:10" s="1702" customFormat="1" ht="17.100000000000001" hidden="1" customHeight="1">
      <c r="A1139" s="1756"/>
      <c r="B1139" s="2805"/>
      <c r="C1139" s="2994" t="s">
        <v>492</v>
      </c>
      <c r="D1139" s="2993" t="s">
        <v>995</v>
      </c>
      <c r="E1139" s="2951">
        <v>0</v>
      </c>
      <c r="F1139" s="2916"/>
      <c r="G1139" s="2686"/>
      <c r="H1139" s="2915" t="e">
        <f t="shared" si="75"/>
        <v>#DIV/0!</v>
      </c>
    </row>
    <row r="1140" spans="1:10" s="1702" customFormat="1" ht="17.100000000000001" hidden="1" customHeight="1">
      <c r="A1140" s="1756"/>
      <c r="B1140" s="2805"/>
      <c r="C1140" s="2994" t="s">
        <v>591</v>
      </c>
      <c r="D1140" s="2993" t="s">
        <v>995</v>
      </c>
      <c r="E1140" s="2951">
        <v>76500</v>
      </c>
      <c r="F1140" s="2916">
        <v>0</v>
      </c>
      <c r="G1140" s="2686">
        <v>0</v>
      </c>
      <c r="H1140" s="2915"/>
    </row>
    <row r="1141" spans="1:10" s="1702" customFormat="1" ht="17.100000000000001" hidden="1" customHeight="1">
      <c r="A1141" s="1756"/>
      <c r="B1141" s="2805"/>
      <c r="C1141" s="2994" t="s">
        <v>491</v>
      </c>
      <c r="D1141" s="2993" t="s">
        <v>995</v>
      </c>
      <c r="E1141" s="2951">
        <v>23500</v>
      </c>
      <c r="F1141" s="2916">
        <v>0</v>
      </c>
      <c r="G1141" s="2686">
        <v>0</v>
      </c>
      <c r="H1141" s="2915"/>
    </row>
    <row r="1142" spans="1:10" s="1702" customFormat="1" ht="27.75" customHeight="1">
      <c r="A1142" s="1756"/>
      <c r="B1142" s="2805"/>
      <c r="C1142" s="2994" t="s">
        <v>525</v>
      </c>
      <c r="D1142" s="2993" t="s">
        <v>993</v>
      </c>
      <c r="E1142" s="2951">
        <v>11050</v>
      </c>
      <c r="F1142" s="2916">
        <v>11050</v>
      </c>
      <c r="G1142" s="2686">
        <v>12240</v>
      </c>
      <c r="H1142" s="2915">
        <f t="shared" ref="H1142:H1158" si="76">G1142/F1142</f>
        <v>1.1076923076923078</v>
      </c>
      <c r="J1142" s="1702" t="s">
        <v>1288</v>
      </c>
    </row>
    <row r="1143" spans="1:10" s="1702" customFormat="1" ht="29.25" customHeight="1">
      <c r="A1143" s="1756"/>
      <c r="B1143" s="2805"/>
      <c r="C1143" s="2994" t="s">
        <v>509</v>
      </c>
      <c r="D1143" s="2993" t="s">
        <v>993</v>
      </c>
      <c r="E1143" s="2951">
        <v>1950</v>
      </c>
      <c r="F1143" s="2916">
        <v>1950</v>
      </c>
      <c r="G1143" s="2686">
        <v>2160</v>
      </c>
      <c r="H1143" s="2915">
        <f t="shared" si="76"/>
        <v>1.1076923076923078</v>
      </c>
      <c r="J1143" s="1702" t="s">
        <v>1288</v>
      </c>
    </row>
    <row r="1144" spans="1:10" s="1702" customFormat="1" ht="16.5" customHeight="1">
      <c r="A1144" s="1756"/>
      <c r="B1144" s="2805"/>
      <c r="C1144" s="2994" t="s">
        <v>467</v>
      </c>
      <c r="D1144" s="2993" t="s">
        <v>991</v>
      </c>
      <c r="E1144" s="2951">
        <v>10212</v>
      </c>
      <c r="F1144" s="2916">
        <v>11061</v>
      </c>
      <c r="G1144" s="2686">
        <v>942</v>
      </c>
      <c r="H1144" s="2915">
        <f t="shared" si="76"/>
        <v>8.5164090046107949E-2</v>
      </c>
    </row>
    <row r="1145" spans="1:10" s="1702" customFormat="1" ht="17.100000000000001" customHeight="1">
      <c r="A1145" s="1756"/>
      <c r="B1145" s="2805"/>
      <c r="C1145" s="2994" t="s">
        <v>524</v>
      </c>
      <c r="D1145" s="2993" t="s">
        <v>991</v>
      </c>
      <c r="E1145" s="2951">
        <v>9413</v>
      </c>
      <c r="F1145" s="2916">
        <v>22943</v>
      </c>
      <c r="G1145" s="2686">
        <f>2718+850+11000</f>
        <v>14568</v>
      </c>
      <c r="H1145" s="2915">
        <f t="shared" si="76"/>
        <v>0.63496491304537328</v>
      </c>
      <c r="J1145" s="1702" t="s">
        <v>1291</v>
      </c>
    </row>
    <row r="1146" spans="1:10" s="1702" customFormat="1" ht="17.100000000000001" customHeight="1">
      <c r="A1146" s="1756"/>
      <c r="B1146" s="2805"/>
      <c r="C1146" s="2994" t="s">
        <v>466</v>
      </c>
      <c r="D1146" s="2993" t="s">
        <v>991</v>
      </c>
      <c r="E1146" s="2951">
        <v>3971</v>
      </c>
      <c r="F1146" s="2916">
        <v>4996</v>
      </c>
      <c r="G1146" s="2686">
        <f>58+480+150</f>
        <v>688</v>
      </c>
      <c r="H1146" s="2915">
        <f t="shared" si="76"/>
        <v>0.13771016813450759</v>
      </c>
      <c r="J1146" s="1702" t="s">
        <v>1290</v>
      </c>
    </row>
    <row r="1147" spans="1:10" s="1702" customFormat="1" ht="17.100000000000001" customHeight="1">
      <c r="A1147" s="1756"/>
      <c r="B1147" s="2805"/>
      <c r="C1147" s="2994" t="s">
        <v>575</v>
      </c>
      <c r="D1147" s="2993" t="s">
        <v>989</v>
      </c>
      <c r="E1147" s="2951">
        <v>2125</v>
      </c>
      <c r="F1147" s="2916">
        <v>12125</v>
      </c>
      <c r="G1147" s="2686">
        <f>1275+11000</f>
        <v>12275</v>
      </c>
      <c r="H1147" s="2915">
        <f t="shared" si="76"/>
        <v>1.0123711340206185</v>
      </c>
      <c r="J1147" s="1702" t="s">
        <v>1295</v>
      </c>
    </row>
    <row r="1148" spans="1:10" s="1702" customFormat="1" ht="17.100000000000001" customHeight="1">
      <c r="A1148" s="1756"/>
      <c r="B1148" s="2805"/>
      <c r="C1148" s="2994" t="s">
        <v>574</v>
      </c>
      <c r="D1148" s="2993" t="s">
        <v>989</v>
      </c>
      <c r="E1148" s="2951">
        <v>375</v>
      </c>
      <c r="F1148" s="2916">
        <v>375</v>
      </c>
      <c r="G1148" s="2686">
        <v>225</v>
      </c>
      <c r="H1148" s="2915">
        <f t="shared" si="76"/>
        <v>0.6</v>
      </c>
      <c r="J1148" s="1702" t="s">
        <v>1121</v>
      </c>
    </row>
    <row r="1149" spans="1:10" s="1702" customFormat="1" ht="17.100000000000001" hidden="1" customHeight="1">
      <c r="A1149" s="1756"/>
      <c r="B1149" s="2805"/>
      <c r="C1149" s="2994" t="s">
        <v>1294</v>
      </c>
      <c r="D1149" s="2993" t="s">
        <v>987</v>
      </c>
      <c r="E1149" s="2951">
        <v>0</v>
      </c>
      <c r="F1149" s="2916"/>
      <c r="G1149" s="2686"/>
      <c r="H1149" s="2915" t="e">
        <f t="shared" si="76"/>
        <v>#DIV/0!</v>
      </c>
    </row>
    <row r="1150" spans="1:10" s="1702" customFormat="1" ht="17.100000000000001" hidden="1" customHeight="1">
      <c r="A1150" s="1756"/>
      <c r="B1150" s="2805"/>
      <c r="C1150" s="2994" t="s">
        <v>522</v>
      </c>
      <c r="D1150" s="2993" t="s">
        <v>987</v>
      </c>
      <c r="E1150" s="2951">
        <v>0</v>
      </c>
      <c r="F1150" s="2916"/>
      <c r="G1150" s="2686"/>
      <c r="H1150" s="2915" t="e">
        <f t="shared" si="76"/>
        <v>#DIV/0!</v>
      </c>
    </row>
    <row r="1151" spans="1:10" s="1702" customFormat="1" ht="17.100000000000001" hidden="1" customHeight="1">
      <c r="A1151" s="1756"/>
      <c r="B1151" s="2805"/>
      <c r="C1151" s="2994" t="s">
        <v>521</v>
      </c>
      <c r="D1151" s="2993" t="s">
        <v>1092</v>
      </c>
      <c r="E1151" s="2951">
        <v>425</v>
      </c>
      <c r="F1151" s="2916">
        <v>555</v>
      </c>
      <c r="G1151" s="2686">
        <v>0</v>
      </c>
      <c r="H1151" s="2915">
        <f t="shared" si="76"/>
        <v>0</v>
      </c>
    </row>
    <row r="1152" spans="1:10" s="1702" customFormat="1" ht="17.100000000000001" hidden="1" customHeight="1">
      <c r="A1152" s="1756"/>
      <c r="B1152" s="2805"/>
      <c r="C1152" s="2992" t="s">
        <v>487</v>
      </c>
      <c r="D1152" s="2959" t="s">
        <v>1092</v>
      </c>
      <c r="E1152" s="2951">
        <v>75</v>
      </c>
      <c r="F1152" s="2916">
        <v>99</v>
      </c>
      <c r="G1152" s="2686">
        <v>0</v>
      </c>
      <c r="H1152" s="2915">
        <f t="shared" si="76"/>
        <v>0</v>
      </c>
    </row>
    <row r="1153" spans="1:10" s="1702" customFormat="1" ht="15.75" hidden="1" thickBot="1">
      <c r="A1153" s="1743"/>
      <c r="B1153" s="2804"/>
      <c r="C1153" s="2946" t="s">
        <v>1293</v>
      </c>
      <c r="D1153" s="2991" t="s">
        <v>1292</v>
      </c>
      <c r="E1153" s="2822">
        <v>0</v>
      </c>
      <c r="F1153" s="2636">
        <v>1507</v>
      </c>
      <c r="G1153" s="1738">
        <v>0</v>
      </c>
      <c r="H1153" s="2617">
        <f t="shared" si="76"/>
        <v>0</v>
      </c>
    </row>
    <row r="1154" spans="1:10" s="1702" customFormat="1" ht="15.75" hidden="1" customHeight="1">
      <c r="A1154" s="1886"/>
      <c r="B1154" s="2984"/>
      <c r="C1154" s="2990" t="s">
        <v>486</v>
      </c>
      <c r="D1154" s="2989" t="s">
        <v>981</v>
      </c>
      <c r="E1154" s="2988">
        <v>0</v>
      </c>
      <c r="F1154" s="2142">
        <v>21681</v>
      </c>
      <c r="G1154" s="2141">
        <v>0</v>
      </c>
      <c r="H1154" s="2099">
        <f t="shared" si="76"/>
        <v>0</v>
      </c>
    </row>
    <row r="1155" spans="1:10" s="1702" customFormat="1" ht="15" customHeight="1">
      <c r="A1155" s="1756"/>
      <c r="B1155" s="2805"/>
      <c r="C1155" s="2987" t="s">
        <v>519</v>
      </c>
      <c r="D1155" s="2986" t="s">
        <v>1087</v>
      </c>
      <c r="E1155" s="2951">
        <v>20889</v>
      </c>
      <c r="F1155" s="2916">
        <v>65019</v>
      </c>
      <c r="G1155" s="2686">
        <f>1853+850+10928</f>
        <v>13631</v>
      </c>
      <c r="H1155" s="2915">
        <f t="shared" si="76"/>
        <v>0.20964641104907797</v>
      </c>
      <c r="J1155" s="1702" t="s">
        <v>1291</v>
      </c>
    </row>
    <row r="1156" spans="1:10" s="1702" customFormat="1" ht="15" customHeight="1">
      <c r="A1156" s="1746"/>
      <c r="B1156" s="2805"/>
      <c r="C1156" s="2963" t="s">
        <v>485</v>
      </c>
      <c r="D1156" s="2971" t="s">
        <v>1087</v>
      </c>
      <c r="E1156" s="2951">
        <v>4195</v>
      </c>
      <c r="F1156" s="2916">
        <v>13901</v>
      </c>
      <c r="G1156" s="2686">
        <f>327+150</f>
        <v>477</v>
      </c>
      <c r="H1156" s="2915">
        <f t="shared" si="76"/>
        <v>3.4314078123875977E-2</v>
      </c>
      <c r="J1156" s="1702" t="s">
        <v>1290</v>
      </c>
    </row>
    <row r="1157" spans="1:10" s="1702" customFormat="1" ht="17.100000000000001" customHeight="1">
      <c r="A1157" s="1746"/>
      <c r="B1157" s="2805"/>
      <c r="C1157" s="2963" t="s">
        <v>476</v>
      </c>
      <c r="D1157" s="2971" t="s">
        <v>1011</v>
      </c>
      <c r="E1157" s="2951">
        <v>9783</v>
      </c>
      <c r="F1157" s="2916">
        <v>14871</v>
      </c>
      <c r="G1157" s="2686">
        <f>9941+4000</f>
        <v>13941</v>
      </c>
      <c r="H1157" s="2915">
        <f t="shared" si="76"/>
        <v>0.93746217470244098</v>
      </c>
      <c r="J1157" s="1702" t="s">
        <v>1289</v>
      </c>
    </row>
    <row r="1158" spans="1:10" s="1702" customFormat="1" ht="17.100000000000001" customHeight="1">
      <c r="A1158" s="1746"/>
      <c r="B1158" s="2805"/>
      <c r="C1158" s="2963" t="s">
        <v>453</v>
      </c>
      <c r="D1158" s="2973" t="s">
        <v>1011</v>
      </c>
      <c r="E1158" s="2951">
        <v>1742</v>
      </c>
      <c r="F1158" s="2916">
        <v>1778</v>
      </c>
      <c r="G1158" s="2686">
        <v>1754</v>
      </c>
      <c r="H1158" s="2915">
        <f t="shared" si="76"/>
        <v>0.98650168728908882</v>
      </c>
      <c r="J1158" s="1702" t="s">
        <v>1288</v>
      </c>
    </row>
    <row r="1159" spans="1:10" s="1702" customFormat="1" ht="17.100000000000001" customHeight="1" thickBot="1">
      <c r="A1159" s="1742"/>
      <c r="B1159" s="2804"/>
      <c r="C1159" s="1743"/>
      <c r="D1159" s="2985"/>
      <c r="E1159" s="2822"/>
      <c r="F1159" s="2636"/>
      <c r="G1159" s="1738"/>
      <c r="H1159" s="2915"/>
    </row>
    <row r="1160" spans="1:10" s="1702" customFormat="1" ht="17.100000000000001" customHeight="1">
      <c r="A1160" s="1816"/>
      <c r="B1160" s="2984"/>
      <c r="C1160" s="4467" t="s">
        <v>941</v>
      </c>
      <c r="D1160" s="4468"/>
      <c r="E1160" s="2983">
        <f>SUM(E1161)</f>
        <v>29159408</v>
      </c>
      <c r="F1160" s="2983">
        <f>SUM(F1161)</f>
        <v>28125811</v>
      </c>
      <c r="G1160" s="2982">
        <f>SUM(G1161)</f>
        <v>15566214</v>
      </c>
      <c r="H1160" s="2917">
        <f t="shared" ref="H1160:H1175" si="77">G1160/F1160</f>
        <v>0.55344942764494864</v>
      </c>
    </row>
    <row r="1161" spans="1:10" s="1702" customFormat="1" ht="17.100000000000001" customHeight="1">
      <c r="A1161" s="1746"/>
      <c r="B1161" s="2805"/>
      <c r="C1161" s="4469" t="s">
        <v>940</v>
      </c>
      <c r="D1161" s="4470"/>
      <c r="E1161" s="2951">
        <f>SUM(E1162:E1173)</f>
        <v>29159408</v>
      </c>
      <c r="F1161" s="2981">
        <f>SUM(F1162:F1176)</f>
        <v>28125811</v>
      </c>
      <c r="G1161" s="2980">
        <f>SUM(G1162:G1176)</f>
        <v>15566214</v>
      </c>
      <c r="H1161" s="2915">
        <f t="shared" si="77"/>
        <v>0.55344942764494864</v>
      </c>
    </row>
    <row r="1162" spans="1:10" s="1702" customFormat="1" ht="17.100000000000001" customHeight="1">
      <c r="A1162" s="1746"/>
      <c r="B1162" s="2805"/>
      <c r="C1162" s="2965" t="s">
        <v>546</v>
      </c>
      <c r="D1162" s="2959" t="s">
        <v>1023</v>
      </c>
      <c r="E1162" s="2951">
        <v>1499035</v>
      </c>
      <c r="F1162" s="2916">
        <v>880507</v>
      </c>
      <c r="G1162" s="2686">
        <v>302500</v>
      </c>
      <c r="H1162" s="2915">
        <f t="shared" si="77"/>
        <v>0.34355206716130593</v>
      </c>
      <c r="J1162" s="1702" t="s">
        <v>1064</v>
      </c>
    </row>
    <row r="1163" spans="1:10" s="1702" customFormat="1" ht="17.100000000000001" customHeight="1">
      <c r="A1163" s="1746"/>
      <c r="B1163" s="2805"/>
      <c r="C1163" s="2965" t="s">
        <v>506</v>
      </c>
      <c r="D1163" s="2964" t="s">
        <v>1023</v>
      </c>
      <c r="E1163" s="2951">
        <v>79501</v>
      </c>
      <c r="F1163" s="2916">
        <v>25113</v>
      </c>
      <c r="G1163" s="2686">
        <v>55651</v>
      </c>
      <c r="H1163" s="2915">
        <f t="shared" si="77"/>
        <v>2.2160235734480151</v>
      </c>
      <c r="J1163" s="1702" t="s">
        <v>1285</v>
      </c>
    </row>
    <row r="1164" spans="1:10" s="1702" customFormat="1" ht="17.100000000000001" customHeight="1">
      <c r="A1164" s="1746"/>
      <c r="B1164" s="2805"/>
      <c r="C1164" s="2958" t="s">
        <v>625</v>
      </c>
      <c r="D1164" s="2959" t="s">
        <v>1023</v>
      </c>
      <c r="E1164" s="2951">
        <v>20836406</v>
      </c>
      <c r="F1164" s="2916">
        <v>20734510</v>
      </c>
      <c r="G1164" s="2686">
        <v>12219090</v>
      </c>
      <c r="H1164" s="2915">
        <f t="shared" si="77"/>
        <v>0.58931173198691456</v>
      </c>
      <c r="J1164" s="1702" t="s">
        <v>1025</v>
      </c>
    </row>
    <row r="1165" spans="1:10" s="1702" customFormat="1" ht="17.100000000000001" customHeight="1">
      <c r="A1165" s="1746"/>
      <c r="B1165" s="2805"/>
      <c r="C1165" s="2958" t="s">
        <v>505</v>
      </c>
      <c r="D1165" s="2959" t="s">
        <v>1023</v>
      </c>
      <c r="E1165" s="2951">
        <v>4092041</v>
      </c>
      <c r="F1165" s="2916">
        <v>4182827</v>
      </c>
      <c r="G1165" s="2686">
        <f>3371+2156311</f>
        <v>2159682</v>
      </c>
      <c r="H1165" s="2915">
        <f t="shared" si="77"/>
        <v>0.51632113878962715</v>
      </c>
      <c r="J1165" s="1702" t="s">
        <v>1287</v>
      </c>
    </row>
    <row r="1166" spans="1:10" s="1702" customFormat="1" ht="17.100000000000001" hidden="1" customHeight="1">
      <c r="A1166" s="1746"/>
      <c r="B1166" s="2805"/>
      <c r="C1166" s="2965" t="s">
        <v>504</v>
      </c>
      <c r="D1166" s="2959" t="s">
        <v>1072</v>
      </c>
      <c r="E1166" s="2951">
        <v>0</v>
      </c>
      <c r="F1166" s="2916"/>
      <c r="G1166" s="2686"/>
      <c r="H1166" s="2915" t="e">
        <f t="shared" si="77"/>
        <v>#DIV/0!</v>
      </c>
    </row>
    <row r="1167" spans="1:10" s="1702" customFormat="1" ht="17.100000000000001" hidden="1" customHeight="1" thickBot="1">
      <c r="A1167" s="1746"/>
      <c r="B1167" s="2805"/>
      <c r="C1167" s="2965" t="s">
        <v>500</v>
      </c>
      <c r="D1167" s="2959" t="s">
        <v>1072</v>
      </c>
      <c r="E1167" s="2951">
        <v>0</v>
      </c>
      <c r="F1167" s="2916"/>
      <c r="G1167" s="2686"/>
      <c r="H1167" s="2915" t="e">
        <f t="shared" si="77"/>
        <v>#DIV/0!</v>
      </c>
    </row>
    <row r="1168" spans="1:10" s="1702" customFormat="1" ht="17.100000000000001" hidden="1" customHeight="1" thickBot="1">
      <c r="A1168" s="1746"/>
      <c r="B1168" s="2954"/>
      <c r="C1168" s="2953" t="s">
        <v>569</v>
      </c>
      <c r="D1168" s="2979" t="s">
        <v>1072</v>
      </c>
      <c r="E1168" s="2951">
        <v>0</v>
      </c>
      <c r="F1168" s="2916"/>
      <c r="G1168" s="2686"/>
      <c r="H1168" s="2915" t="e">
        <f t="shared" si="77"/>
        <v>#DIV/0!</v>
      </c>
    </row>
    <row r="1169" spans="1:10" s="1702" customFormat="1" ht="51" customHeight="1">
      <c r="A1169" s="1746"/>
      <c r="B1169" s="2954"/>
      <c r="C1169" s="2699" t="s">
        <v>566</v>
      </c>
      <c r="D1169" s="2956" t="s">
        <v>1136</v>
      </c>
      <c r="E1169" s="2951">
        <v>79501</v>
      </c>
      <c r="F1169" s="2916">
        <v>32689</v>
      </c>
      <c r="G1169" s="2686">
        <v>55651</v>
      </c>
      <c r="H1169" s="2915">
        <f t="shared" si="77"/>
        <v>1.7024381290342316</v>
      </c>
      <c r="J1169" s="1702" t="s">
        <v>1285</v>
      </c>
    </row>
    <row r="1170" spans="1:10" s="1702" customFormat="1" ht="53.25" hidden="1" customHeight="1">
      <c r="A1170" s="1746"/>
      <c r="B1170" s="2954"/>
      <c r="C1170" s="2978" t="s">
        <v>119</v>
      </c>
      <c r="D1170" s="2741" t="s">
        <v>1136</v>
      </c>
      <c r="E1170" s="2977">
        <v>350550</v>
      </c>
      <c r="F1170" s="2500">
        <v>1060959</v>
      </c>
      <c r="G1170" s="1802">
        <v>0</v>
      </c>
      <c r="H1170" s="2503">
        <f t="shared" si="77"/>
        <v>0</v>
      </c>
    </row>
    <row r="1171" spans="1:10" s="1702" customFormat="1" ht="53.25" customHeight="1">
      <c r="A1171" s="1746"/>
      <c r="B1171" s="2954"/>
      <c r="C1171" s="2709" t="s">
        <v>540</v>
      </c>
      <c r="D1171" s="2741" t="s">
        <v>1136</v>
      </c>
      <c r="E1171" s="2955">
        <v>66677</v>
      </c>
      <c r="F1171" s="2916">
        <v>189207</v>
      </c>
      <c r="G1171" s="2686">
        <v>3371</v>
      </c>
      <c r="H1171" s="2915">
        <f t="shared" si="77"/>
        <v>1.781646556417046E-2</v>
      </c>
      <c r="J1171" s="1702" t="s">
        <v>1285</v>
      </c>
    </row>
    <row r="1172" spans="1:10" s="1702" customFormat="1" ht="53.25" customHeight="1">
      <c r="A1172" s="1746"/>
      <c r="B1172" s="2954"/>
      <c r="C1172" s="2965" t="s">
        <v>123</v>
      </c>
      <c r="D1172" s="2976" t="s">
        <v>1026</v>
      </c>
      <c r="E1172" s="2951">
        <v>1033512</v>
      </c>
      <c r="F1172" s="2916">
        <v>310054</v>
      </c>
      <c r="G1172" s="2686">
        <v>723458</v>
      </c>
      <c r="H1172" s="2915">
        <f t="shared" si="77"/>
        <v>2.3333290330071534</v>
      </c>
      <c r="J1172" s="1702" t="s">
        <v>1285</v>
      </c>
    </row>
    <row r="1173" spans="1:10" s="1702" customFormat="1" ht="53.25" customHeight="1">
      <c r="A1173" s="1746"/>
      <c r="B1173" s="2954"/>
      <c r="C1173" s="2965" t="s">
        <v>186</v>
      </c>
      <c r="D1173" s="2976" t="s">
        <v>1026</v>
      </c>
      <c r="E1173" s="2951">
        <v>1122185</v>
      </c>
      <c r="F1173" s="2916">
        <v>709945</v>
      </c>
      <c r="G1173" s="2686">
        <v>43810</v>
      </c>
      <c r="H1173" s="2915">
        <f t="shared" si="77"/>
        <v>6.1709005627196473E-2</v>
      </c>
      <c r="J1173" s="1702" t="s">
        <v>1285</v>
      </c>
    </row>
    <row r="1174" spans="1:10" s="1702" customFormat="1" ht="38.25" hidden="1" customHeight="1">
      <c r="A1174" s="1746"/>
      <c r="B1174" s="2954"/>
      <c r="C1174" s="2965" t="s">
        <v>1152</v>
      </c>
      <c r="D1174" s="2959" t="s">
        <v>1151</v>
      </c>
      <c r="E1174" s="2951">
        <v>0</v>
      </c>
      <c r="F1174" s="2916"/>
      <c r="G1174" s="2686"/>
      <c r="H1174" s="2915" t="e">
        <f t="shared" si="77"/>
        <v>#DIV/0!</v>
      </c>
    </row>
    <row r="1175" spans="1:10" s="1702" customFormat="1" ht="51" hidden="1" customHeight="1">
      <c r="A1175" s="1746"/>
      <c r="B1175" s="2954"/>
      <c r="C1175" s="2975" t="s">
        <v>302</v>
      </c>
      <c r="D1175" s="2629" t="s">
        <v>1135</v>
      </c>
      <c r="E1175" s="2951">
        <v>0</v>
      </c>
      <c r="F1175" s="2916"/>
      <c r="G1175" s="2686"/>
      <c r="H1175" s="2915" t="e">
        <f t="shared" si="77"/>
        <v>#DIV/0!</v>
      </c>
    </row>
    <row r="1176" spans="1:10" s="1702" customFormat="1" ht="28.5" customHeight="1">
      <c r="A1176" s="1746"/>
      <c r="B1176" s="2954"/>
      <c r="C1176" s="2974" t="s">
        <v>578</v>
      </c>
      <c r="D1176" s="2971" t="s">
        <v>1022</v>
      </c>
      <c r="E1176" s="2951">
        <v>0</v>
      </c>
      <c r="F1176" s="2916">
        <v>0</v>
      </c>
      <c r="G1176" s="2686">
        <v>3001</v>
      </c>
      <c r="H1176" s="2915"/>
      <c r="J1176" s="1702" t="s">
        <v>1286</v>
      </c>
    </row>
    <row r="1177" spans="1:10" s="1702" customFormat="1" ht="24.75" hidden="1" customHeight="1">
      <c r="A1177" s="1746"/>
      <c r="B1177" s="2954"/>
      <c r="C1177" s="2974" t="s">
        <v>303</v>
      </c>
      <c r="D1177" s="2973" t="s">
        <v>1022</v>
      </c>
      <c r="E1177" s="2951">
        <v>0</v>
      </c>
      <c r="F1177" s="2916"/>
      <c r="G1177" s="2686"/>
      <c r="H1177" s="2915" t="e">
        <f>G1177/F1177</f>
        <v>#DIV/0!</v>
      </c>
    </row>
    <row r="1178" spans="1:10" s="1702" customFormat="1" ht="15" hidden="1" customHeight="1">
      <c r="A1178" s="1746"/>
      <c r="B1178" s="2954"/>
      <c r="C1178" s="4444"/>
      <c r="D1178" s="4445"/>
      <c r="E1178" s="2951"/>
      <c r="F1178" s="2916"/>
      <c r="G1178" s="2686"/>
      <c r="H1178" s="2915" t="e">
        <f>G1178/F1178</f>
        <v>#DIV/0!</v>
      </c>
    </row>
    <row r="1179" spans="1:10" s="1702" customFormat="1" ht="15" hidden="1" customHeight="1">
      <c r="A1179" s="1746"/>
      <c r="B1179" s="2954"/>
      <c r="C1179" s="4446" t="s">
        <v>1187</v>
      </c>
      <c r="D1179" s="4447"/>
      <c r="E1179" s="2951">
        <v>0</v>
      </c>
      <c r="F1179" s="2916"/>
      <c r="G1179" s="2686"/>
      <c r="H1179" s="2915" t="e">
        <f>G1179/F1179</f>
        <v>#DIV/0!</v>
      </c>
    </row>
    <row r="1180" spans="1:10" s="1702" customFormat="1" ht="38.25" hidden="1" customHeight="1">
      <c r="A1180" s="1746"/>
      <c r="B1180" s="2954"/>
      <c r="C1180" s="2972" t="s">
        <v>1186</v>
      </c>
      <c r="D1180" s="2971" t="s">
        <v>1185</v>
      </c>
      <c r="E1180" s="2951">
        <v>0</v>
      </c>
      <c r="F1180" s="2916"/>
      <c r="G1180" s="2686"/>
      <c r="H1180" s="2915" t="e">
        <f>G1180/F1180</f>
        <v>#DIV/0!</v>
      </c>
    </row>
    <row r="1181" spans="1:10" s="1702" customFormat="1" ht="18" customHeight="1">
      <c r="A1181" s="1746"/>
      <c r="B1181" s="2954"/>
      <c r="C1181" s="1756"/>
      <c r="D1181" s="2970"/>
      <c r="E1181" s="2951"/>
      <c r="F1181" s="2916"/>
      <c r="G1181" s="2686"/>
      <c r="H1181" s="2915"/>
    </row>
    <row r="1182" spans="1:10" s="1702" customFormat="1" ht="21" customHeight="1">
      <c r="A1182" s="1746"/>
      <c r="B1182" s="2954"/>
      <c r="C1182" s="4448" t="s">
        <v>1024</v>
      </c>
      <c r="D1182" s="4449"/>
      <c r="E1182" s="2969">
        <f>SUM(E1183:E1194)</f>
        <v>27824810</v>
      </c>
      <c r="F1182" s="2968">
        <f>SUM(F1183:F1196)</f>
        <v>26554136</v>
      </c>
      <c r="G1182" s="2967">
        <f>SUM(G1183:G1196)</f>
        <v>15263714</v>
      </c>
      <c r="H1182" s="2966">
        <f>G1182/F1182</f>
        <v>0.57481493655075055</v>
      </c>
      <c r="J1182" s="1702" t="s">
        <v>1285</v>
      </c>
    </row>
    <row r="1183" spans="1:10" s="1702" customFormat="1" ht="18" hidden="1" customHeight="1">
      <c r="A1183" s="1756"/>
      <c r="B1183" s="2954"/>
      <c r="C1183" s="2963" t="s">
        <v>546</v>
      </c>
      <c r="D1183" s="2962" t="s">
        <v>1023</v>
      </c>
      <c r="E1183" s="2951">
        <v>1224035</v>
      </c>
      <c r="F1183" s="2916">
        <v>0</v>
      </c>
      <c r="G1183" s="2686">
        <v>0</v>
      </c>
      <c r="H1183" s="2915"/>
    </row>
    <row r="1184" spans="1:10" s="1702" customFormat="1" ht="18" customHeight="1">
      <c r="A1184" s="1756"/>
      <c r="B1184" s="2954"/>
      <c r="C1184" s="2965" t="s">
        <v>506</v>
      </c>
      <c r="D1184" s="2964" t="s">
        <v>1023</v>
      </c>
      <c r="E1184" s="2951">
        <v>79501</v>
      </c>
      <c r="F1184" s="2916">
        <v>25113</v>
      </c>
      <c r="G1184" s="2686">
        <v>55651</v>
      </c>
      <c r="H1184" s="2915">
        <f t="shared" ref="H1184:H1195" si="78">G1184/F1184</f>
        <v>2.2160235734480151</v>
      </c>
    </row>
    <row r="1185" spans="1:10" s="1702" customFormat="1" ht="17.100000000000001" customHeight="1">
      <c r="A1185" s="1756"/>
      <c r="B1185" s="2954"/>
      <c r="C1185" s="2963" t="s">
        <v>625</v>
      </c>
      <c r="D1185" s="2962" t="s">
        <v>1023</v>
      </c>
      <c r="E1185" s="2951">
        <v>20836406</v>
      </c>
      <c r="F1185" s="2916">
        <v>20734510</v>
      </c>
      <c r="G1185" s="2686">
        <v>12219090</v>
      </c>
      <c r="H1185" s="2915">
        <f t="shared" si="78"/>
        <v>0.58931173198691456</v>
      </c>
      <c r="J1185" s="1702" t="s">
        <v>1025</v>
      </c>
    </row>
    <row r="1186" spans="1:10" s="1702" customFormat="1" ht="17.100000000000001" customHeight="1">
      <c r="A1186" s="1756"/>
      <c r="B1186" s="2954"/>
      <c r="C1186" s="2963" t="s">
        <v>505</v>
      </c>
      <c r="D1186" s="2962" t="s">
        <v>1023</v>
      </c>
      <c r="E1186" s="2951">
        <v>4092041</v>
      </c>
      <c r="F1186" s="2916">
        <v>4182827</v>
      </c>
      <c r="G1186" s="2686">
        <f>3371+2156311</f>
        <v>2159682</v>
      </c>
      <c r="H1186" s="2915">
        <f t="shared" si="78"/>
        <v>0.51632113878962715</v>
      </c>
      <c r="J1186" s="1702" t="s">
        <v>1025</v>
      </c>
    </row>
    <row r="1187" spans="1:10" s="1702" customFormat="1" ht="17.100000000000001" hidden="1" customHeight="1">
      <c r="A1187" s="1756"/>
      <c r="B1187" s="2954"/>
      <c r="C1187" s="2961" t="s">
        <v>504</v>
      </c>
      <c r="D1187" s="2741" t="s">
        <v>1072</v>
      </c>
      <c r="E1187" s="2951">
        <v>0</v>
      </c>
      <c r="F1187" s="2916"/>
      <c r="G1187" s="2686"/>
      <c r="H1187" s="2915" t="e">
        <f t="shared" si="78"/>
        <v>#DIV/0!</v>
      </c>
    </row>
    <row r="1188" spans="1:10" s="1702" customFormat="1" ht="17.100000000000001" hidden="1" customHeight="1">
      <c r="A1188" s="1756"/>
      <c r="B1188" s="2954"/>
      <c r="C1188" s="2958" t="s">
        <v>500</v>
      </c>
      <c r="D1188" s="2959" t="s">
        <v>1072</v>
      </c>
      <c r="E1188" s="2951">
        <v>0</v>
      </c>
      <c r="F1188" s="2916"/>
      <c r="G1188" s="2686"/>
      <c r="H1188" s="2915" t="e">
        <f t="shared" si="78"/>
        <v>#DIV/0!</v>
      </c>
    </row>
    <row r="1189" spans="1:10" s="1702" customFormat="1" ht="17.100000000000001" hidden="1" customHeight="1">
      <c r="A1189" s="1756"/>
      <c r="B1189" s="2954"/>
      <c r="C1189" s="2960" t="s">
        <v>569</v>
      </c>
      <c r="D1189" s="2959" t="s">
        <v>1072</v>
      </c>
      <c r="E1189" s="2951">
        <v>0</v>
      </c>
      <c r="F1189" s="2916"/>
      <c r="G1189" s="2686"/>
      <c r="H1189" s="2915" t="e">
        <f t="shared" si="78"/>
        <v>#DIV/0!</v>
      </c>
    </row>
    <row r="1190" spans="1:10" s="1702" customFormat="1" ht="54" customHeight="1">
      <c r="A1190" s="1756"/>
      <c r="B1190" s="2954"/>
      <c r="C1190" s="2958" t="s">
        <v>566</v>
      </c>
      <c r="D1190" s="2957" t="s">
        <v>1136</v>
      </c>
      <c r="E1190" s="2951">
        <v>79501</v>
      </c>
      <c r="F1190" s="2916">
        <v>32689</v>
      </c>
      <c r="G1190" s="2686">
        <v>55651</v>
      </c>
      <c r="H1190" s="2915">
        <f t="shared" si="78"/>
        <v>1.7024381290342316</v>
      </c>
    </row>
    <row r="1191" spans="1:10" s="1702" customFormat="1" ht="54" hidden="1" customHeight="1">
      <c r="A1191" s="1756"/>
      <c r="B1191" s="2954"/>
      <c r="C1191" s="2958" t="s">
        <v>119</v>
      </c>
      <c r="D1191" s="2957" t="s">
        <v>1136</v>
      </c>
      <c r="E1191" s="2951">
        <v>350550</v>
      </c>
      <c r="F1191" s="2916">
        <v>1060959</v>
      </c>
      <c r="G1191" s="2686">
        <v>0</v>
      </c>
      <c r="H1191" s="2915">
        <f t="shared" si="78"/>
        <v>0</v>
      </c>
    </row>
    <row r="1192" spans="1:10" s="1702" customFormat="1" ht="54" customHeight="1">
      <c r="A1192" s="1831"/>
      <c r="B1192" s="2954"/>
      <c r="C1192" s="2953" t="s">
        <v>540</v>
      </c>
      <c r="D1192" s="2956" t="s">
        <v>1136</v>
      </c>
      <c r="E1192" s="2951">
        <v>66677</v>
      </c>
      <c r="F1192" s="2916">
        <v>189207</v>
      </c>
      <c r="G1192" s="2686">
        <v>3371</v>
      </c>
      <c r="H1192" s="2915">
        <f t="shared" si="78"/>
        <v>1.781646556417046E-2</v>
      </c>
    </row>
    <row r="1193" spans="1:10" s="1702" customFormat="1" ht="54" customHeight="1">
      <c r="A1193" s="1756"/>
      <c r="B1193" s="2954"/>
      <c r="C1193" s="2709" t="s">
        <v>123</v>
      </c>
      <c r="D1193" s="2628" t="s">
        <v>1026</v>
      </c>
      <c r="E1193" s="2955">
        <v>1033512</v>
      </c>
      <c r="F1193" s="2500">
        <v>310054</v>
      </c>
      <c r="G1193" s="1802">
        <v>723458</v>
      </c>
      <c r="H1193" s="2503">
        <f t="shared" si="78"/>
        <v>2.3333290330071534</v>
      </c>
    </row>
    <row r="1194" spans="1:10" s="1702" customFormat="1" ht="57.75" customHeight="1">
      <c r="A1194" s="1831"/>
      <c r="B1194" s="2954"/>
      <c r="C1194" s="2953" t="s">
        <v>186</v>
      </c>
      <c r="D1194" s="2952" t="s">
        <v>1026</v>
      </c>
      <c r="E1194" s="2951">
        <v>62587</v>
      </c>
      <c r="F1194" s="2916">
        <v>18777</v>
      </c>
      <c r="G1194" s="2686">
        <v>43810</v>
      </c>
      <c r="H1194" s="2915">
        <f t="shared" si="78"/>
        <v>2.3331735634020343</v>
      </c>
    </row>
    <row r="1195" spans="1:10" ht="54" hidden="1" customHeight="1">
      <c r="A1195" s="1836"/>
      <c r="B1195" s="2950"/>
      <c r="C1195" s="2949" t="s">
        <v>302</v>
      </c>
      <c r="D1195" s="2648" t="s">
        <v>1135</v>
      </c>
      <c r="E1195" s="2948">
        <v>0</v>
      </c>
      <c r="F1195" s="2526"/>
      <c r="G1195" s="1903"/>
      <c r="H1195" s="2545" t="e">
        <f t="shared" si="78"/>
        <v>#DIV/0!</v>
      </c>
    </row>
    <row r="1196" spans="1:10" s="1702" customFormat="1" ht="30.75" customHeight="1" thickBot="1">
      <c r="A1196" s="1743"/>
      <c r="B1196" s="2947"/>
      <c r="C1196" s="2946" t="s">
        <v>578</v>
      </c>
      <c r="D1196" s="2945" t="s">
        <v>1022</v>
      </c>
      <c r="E1196" s="2822">
        <v>0</v>
      </c>
      <c r="F1196" s="2636">
        <v>0</v>
      </c>
      <c r="G1196" s="1738">
        <v>3001</v>
      </c>
      <c r="H1196" s="2617"/>
    </row>
    <row r="1197" spans="1:10" s="1906" customFormat="1" ht="22.5" hidden="1" customHeight="1" thickBot="1">
      <c r="A1197" s="2074" t="s">
        <v>1284</v>
      </c>
      <c r="B1197" s="2944"/>
      <c r="C1197" s="2589"/>
      <c r="D1197" s="2943" t="s">
        <v>1283</v>
      </c>
      <c r="E1197" s="2070">
        <f t="shared" ref="E1197:G1200" si="79">SUM(E1198)</f>
        <v>5000</v>
      </c>
      <c r="F1197" s="2070">
        <f t="shared" si="79"/>
        <v>6200</v>
      </c>
      <c r="G1197" s="2069">
        <f t="shared" si="79"/>
        <v>0</v>
      </c>
      <c r="H1197" s="2068">
        <f t="shared" ref="H1197:H1202" si="80">G1197/F1197</f>
        <v>0</v>
      </c>
      <c r="J1197" s="1702"/>
    </row>
    <row r="1198" spans="1:10" s="1906" customFormat="1" ht="14.25" hidden="1" customHeight="1" thickBot="1">
      <c r="A1198" s="1923"/>
      <c r="B1198" s="1971" t="s">
        <v>1282</v>
      </c>
      <c r="C1198" s="1970"/>
      <c r="D1198" s="1969" t="s">
        <v>218</v>
      </c>
      <c r="E1198" s="1968">
        <f t="shared" si="79"/>
        <v>5000</v>
      </c>
      <c r="F1198" s="1968">
        <f t="shared" si="79"/>
        <v>6200</v>
      </c>
      <c r="G1198" s="1967">
        <f t="shared" si="79"/>
        <v>0</v>
      </c>
      <c r="H1198" s="1966">
        <f t="shared" si="80"/>
        <v>0</v>
      </c>
      <c r="J1198" s="1702"/>
    </row>
    <row r="1199" spans="1:10" s="1906" customFormat="1" ht="15" hidden="1" customHeight="1">
      <c r="A1199" s="1923"/>
      <c r="B1199" s="2936"/>
      <c r="C1199" s="4279" t="s">
        <v>944</v>
      </c>
      <c r="D1199" s="4279"/>
      <c r="E1199" s="2942">
        <f t="shared" si="79"/>
        <v>5000</v>
      </c>
      <c r="F1199" s="2942">
        <f t="shared" si="79"/>
        <v>6200</v>
      </c>
      <c r="G1199" s="2941">
        <f t="shared" si="79"/>
        <v>0</v>
      </c>
      <c r="H1199" s="2508">
        <f t="shared" si="80"/>
        <v>0</v>
      </c>
      <c r="J1199" s="1702"/>
    </row>
    <row r="1200" spans="1:10" s="1906" customFormat="1" ht="17.25" hidden="1" customHeight="1">
      <c r="A1200" s="1923"/>
      <c r="B1200" s="2936"/>
      <c r="C1200" s="4450" t="s">
        <v>967</v>
      </c>
      <c r="D1200" s="4450"/>
      <c r="E1200" s="2935">
        <f t="shared" si="79"/>
        <v>5000</v>
      </c>
      <c r="F1200" s="2935">
        <f t="shared" si="79"/>
        <v>6200</v>
      </c>
      <c r="G1200" s="2940">
        <f t="shared" si="79"/>
        <v>0</v>
      </c>
      <c r="H1200" s="2887">
        <f t="shared" si="80"/>
        <v>0</v>
      </c>
      <c r="J1200" s="1702"/>
    </row>
    <row r="1201" spans="1:10" s="1906" customFormat="1" ht="17.25" hidden="1" customHeight="1">
      <c r="A1201" s="1923"/>
      <c r="B1201" s="2936"/>
      <c r="C1201" s="4451" t="s">
        <v>961</v>
      </c>
      <c r="D1201" s="4451"/>
      <c r="E1201" s="2939">
        <f>SUM(E1202:E1204)</f>
        <v>5000</v>
      </c>
      <c r="F1201" s="2939">
        <f>SUM(F1202:F1204)</f>
        <v>6200</v>
      </c>
      <c r="G1201" s="2938">
        <f>SUM(G1202:G1204)</f>
        <v>0</v>
      </c>
      <c r="H1201" s="2887">
        <f t="shared" si="80"/>
        <v>0</v>
      </c>
      <c r="J1201" s="1702" t="s">
        <v>1064</v>
      </c>
    </row>
    <row r="1202" spans="1:10" s="1906" customFormat="1" ht="18" hidden="1" customHeight="1">
      <c r="A1202" s="1923"/>
      <c r="B1202" s="2936"/>
      <c r="C1202" s="2929" t="s">
        <v>613</v>
      </c>
      <c r="D1202" s="2928" t="s">
        <v>960</v>
      </c>
      <c r="E1202" s="2935">
        <v>2000</v>
      </c>
      <c r="F1202" s="2883">
        <v>1500</v>
      </c>
      <c r="G1202" s="2870">
        <v>0</v>
      </c>
      <c r="H1202" s="2887">
        <f t="shared" si="80"/>
        <v>0</v>
      </c>
    </row>
    <row r="1203" spans="1:10" s="1906" customFormat="1" ht="18" hidden="1" customHeight="1">
      <c r="A1203" s="1923"/>
      <c r="B1203" s="2936"/>
      <c r="C1203" s="2929" t="s">
        <v>1008</v>
      </c>
      <c r="D1203" s="2937" t="s">
        <v>1007</v>
      </c>
      <c r="E1203" s="2935"/>
      <c r="F1203" s="2883">
        <v>1200</v>
      </c>
      <c r="G1203" s="2870">
        <v>0</v>
      </c>
      <c r="H1203" s="2934"/>
      <c r="J1203" s="1702"/>
    </row>
    <row r="1204" spans="1:10" s="1906" customFormat="1" ht="18" hidden="1" customHeight="1" thickBot="1">
      <c r="A1204" s="1923"/>
      <c r="B1204" s="2936"/>
      <c r="C1204" s="2929" t="s">
        <v>959</v>
      </c>
      <c r="D1204" s="2928" t="s">
        <v>958</v>
      </c>
      <c r="E1204" s="2935">
        <v>3000</v>
      </c>
      <c r="F1204" s="2883">
        <v>3500</v>
      </c>
      <c r="G1204" s="2870">
        <v>0</v>
      </c>
      <c r="H1204" s="2934">
        <f t="shared" ref="H1204:H1228" si="81">G1204/F1204</f>
        <v>0</v>
      </c>
      <c r="J1204" s="1702"/>
    </row>
    <row r="1205" spans="1:10" ht="17.100000000000001" customHeight="1" thickBot="1">
      <c r="A1205" s="1844" t="s">
        <v>788</v>
      </c>
      <c r="B1205" s="2525"/>
      <c r="C1205" s="2524"/>
      <c r="D1205" s="2523" t="s">
        <v>1281</v>
      </c>
      <c r="E1205" s="2522">
        <v>1711000</v>
      </c>
      <c r="F1205" s="2522">
        <f>SUM(F1206,F1213,F1221,F1225,F1233,F1240,)</f>
        <v>8454891</v>
      </c>
      <c r="G1205" s="2521">
        <f>SUM(G1206,G1213,G1221,G1225,G1233,G1240,)</f>
        <v>1892100</v>
      </c>
      <c r="H1205" s="1735">
        <f t="shared" si="81"/>
        <v>0.2237876277766325</v>
      </c>
    </row>
    <row r="1206" spans="1:10" s="1906" customFormat="1" ht="16.5" customHeight="1" thickBot="1">
      <c r="A1206" s="1923"/>
      <c r="B1206" s="1971" t="s">
        <v>787</v>
      </c>
      <c r="C1206" s="1970"/>
      <c r="D1206" s="1969" t="s">
        <v>1280</v>
      </c>
      <c r="E1206" s="1968">
        <f>SUM(E1210)</f>
        <v>385000</v>
      </c>
      <c r="F1206" s="1968">
        <f>SUM(F1210)</f>
        <v>385000</v>
      </c>
      <c r="G1206" s="1967">
        <f>SUM(G1210)</f>
        <v>450000</v>
      </c>
      <c r="H1206" s="1966">
        <f t="shared" si="81"/>
        <v>1.1688311688311688</v>
      </c>
      <c r="J1206" s="1702"/>
    </row>
    <row r="1207" spans="1:10" s="1906" customFormat="1" ht="16.5" hidden="1" customHeight="1" thickBot="1">
      <c r="A1207" s="1923"/>
      <c r="B1207" s="2550"/>
      <c r="C1207" s="4279" t="s">
        <v>944</v>
      </c>
      <c r="D1207" s="4279"/>
      <c r="E1207" s="2931">
        <v>0</v>
      </c>
      <c r="F1207" s="2931">
        <v>0</v>
      </c>
      <c r="G1207" s="2930">
        <v>0</v>
      </c>
      <c r="H1207" s="2508" t="e">
        <f t="shared" si="81"/>
        <v>#DIV/0!</v>
      </c>
      <c r="J1207" s="1702"/>
    </row>
    <row r="1208" spans="1:10" s="1906" customFormat="1" ht="20.25" hidden="1" customHeight="1">
      <c r="A1208" s="1923"/>
      <c r="B1208" s="2550"/>
      <c r="C1208" s="4452" t="s">
        <v>943</v>
      </c>
      <c r="D1208" s="4453"/>
      <c r="E1208" s="2564">
        <v>0</v>
      </c>
      <c r="F1208" s="2564">
        <v>0</v>
      </c>
      <c r="G1208" s="2563">
        <v>0</v>
      </c>
      <c r="H1208" s="2927" t="e">
        <f t="shared" si="81"/>
        <v>#DIV/0!</v>
      </c>
      <c r="J1208" s="1702"/>
    </row>
    <row r="1209" spans="1:10" s="1906" customFormat="1" ht="15.75" hidden="1" customHeight="1">
      <c r="A1209" s="1923"/>
      <c r="B1209" s="2550"/>
      <c r="C1209" s="2933" t="s">
        <v>1279</v>
      </c>
      <c r="D1209" s="2932" t="s">
        <v>1276</v>
      </c>
      <c r="E1209" s="2564">
        <v>0</v>
      </c>
      <c r="F1209" s="2564">
        <v>0</v>
      </c>
      <c r="G1209" s="2563">
        <v>0</v>
      </c>
      <c r="H1209" s="2927" t="e">
        <f t="shared" si="81"/>
        <v>#DIV/0!</v>
      </c>
      <c r="J1209" s="1702"/>
    </row>
    <row r="1210" spans="1:10" s="1906" customFormat="1" ht="17.100000000000001" customHeight="1">
      <c r="A1210" s="1923"/>
      <c r="B1210" s="4436"/>
      <c r="C1210" s="4298" t="s">
        <v>941</v>
      </c>
      <c r="D1210" s="4454"/>
      <c r="E1210" s="2509">
        <f t="shared" ref="E1210:G1211" si="82">SUM(E1211)</f>
        <v>385000</v>
      </c>
      <c r="F1210" s="2509">
        <f t="shared" si="82"/>
        <v>385000</v>
      </c>
      <c r="G1210" s="1964">
        <f t="shared" si="82"/>
        <v>450000</v>
      </c>
      <c r="H1210" s="2927">
        <f t="shared" si="81"/>
        <v>1.1688311688311688</v>
      </c>
      <c r="J1210" s="1702"/>
    </row>
    <row r="1211" spans="1:10" s="1906" customFormat="1" ht="17.100000000000001" customHeight="1">
      <c r="A1211" s="1923"/>
      <c r="B1211" s="4436"/>
      <c r="C1211" s="4433" t="s">
        <v>940</v>
      </c>
      <c r="D1211" s="4442"/>
      <c r="E1211" s="2883">
        <f t="shared" si="82"/>
        <v>385000</v>
      </c>
      <c r="F1211" s="2883">
        <f t="shared" si="82"/>
        <v>385000</v>
      </c>
      <c r="G1211" s="2870">
        <f t="shared" si="82"/>
        <v>450000</v>
      </c>
      <c r="H1211" s="2887">
        <f t="shared" si="81"/>
        <v>1.1688311688311688</v>
      </c>
      <c r="J1211" s="1702"/>
    </row>
    <row r="1212" spans="1:10" s="1906" customFormat="1" ht="29.25" customHeight="1" thickBot="1">
      <c r="A1212" s="1923"/>
      <c r="B1212" s="4437"/>
      <c r="C1212" s="2910" t="s">
        <v>1274</v>
      </c>
      <c r="D1212" s="2909" t="s">
        <v>1273</v>
      </c>
      <c r="E1212" s="2857">
        <v>385000</v>
      </c>
      <c r="F1212" s="2857">
        <v>385000</v>
      </c>
      <c r="G1212" s="1915">
        <v>450000</v>
      </c>
      <c r="H1212" s="2856">
        <f t="shared" si="81"/>
        <v>1.1688311688311688</v>
      </c>
      <c r="J1212" s="1702" t="s">
        <v>1064</v>
      </c>
    </row>
    <row r="1213" spans="1:10" s="1906" customFormat="1" ht="17.100000000000001" customHeight="1" thickBot="1">
      <c r="A1213" s="1922"/>
      <c r="B1213" s="1971" t="s">
        <v>784</v>
      </c>
      <c r="C1213" s="1970"/>
      <c r="D1213" s="1969" t="s">
        <v>1278</v>
      </c>
      <c r="E1213" s="1968">
        <f>SUM(E1218)</f>
        <v>250000</v>
      </c>
      <c r="F1213" s="1968">
        <f>SUM(F1218)</f>
        <v>250000</v>
      </c>
      <c r="G1213" s="1967">
        <f>SUM(G1218)</f>
        <v>363500</v>
      </c>
      <c r="H1213" s="1966">
        <f t="shared" si="81"/>
        <v>1.454</v>
      </c>
      <c r="J1213" s="1702"/>
    </row>
    <row r="1214" spans="1:10" s="1906" customFormat="1" ht="17.100000000000001" hidden="1" customHeight="1" thickBot="1">
      <c r="A1214" s="1923"/>
      <c r="B1214" s="4129"/>
      <c r="C1214" s="4279" t="s">
        <v>944</v>
      </c>
      <c r="D1214" s="4279"/>
      <c r="E1214" s="2931">
        <v>0</v>
      </c>
      <c r="F1214" s="2931">
        <v>0</v>
      </c>
      <c r="G1214" s="2930">
        <v>0</v>
      </c>
      <c r="H1214" s="2508" t="e">
        <f t="shared" si="81"/>
        <v>#DIV/0!</v>
      </c>
      <c r="J1214" s="1702"/>
    </row>
    <row r="1215" spans="1:10" s="1906" customFormat="1" ht="17.100000000000001" hidden="1" customHeight="1">
      <c r="A1215" s="1923"/>
      <c r="B1215" s="4129"/>
      <c r="C1215" s="4433" t="s">
        <v>943</v>
      </c>
      <c r="D1215" s="4433"/>
      <c r="E1215" s="2564">
        <v>0</v>
      </c>
      <c r="F1215" s="2564">
        <v>0</v>
      </c>
      <c r="G1215" s="2563">
        <v>0</v>
      </c>
      <c r="H1215" s="2927" t="e">
        <f t="shared" si="81"/>
        <v>#DIV/0!</v>
      </c>
      <c r="J1215" s="1702"/>
    </row>
    <row r="1216" spans="1:10" s="1906" customFormat="1" ht="17.100000000000001" hidden="1" customHeight="1">
      <c r="A1216" s="1923"/>
      <c r="B1216" s="4129"/>
      <c r="C1216" s="2929" t="s">
        <v>1277</v>
      </c>
      <c r="D1216" s="2928" t="s">
        <v>1276</v>
      </c>
      <c r="E1216" s="2564">
        <v>0</v>
      </c>
      <c r="F1216" s="2564">
        <v>0</v>
      </c>
      <c r="G1216" s="2563">
        <v>0</v>
      </c>
      <c r="H1216" s="2927" t="e">
        <f t="shared" si="81"/>
        <v>#DIV/0!</v>
      </c>
      <c r="J1216" s="1702"/>
    </row>
    <row r="1217" spans="1:10" s="1906" customFormat="1" ht="17.100000000000001" hidden="1" customHeight="1">
      <c r="A1217" s="1923"/>
      <c r="B1217" s="4436"/>
      <c r="C1217" s="4438"/>
      <c r="D1217" s="4439"/>
      <c r="E1217" s="2509">
        <f t="shared" ref="E1217:G1219" si="83">SUM(E1218)</f>
        <v>250000</v>
      </c>
      <c r="F1217" s="2509">
        <f t="shared" si="83"/>
        <v>250000</v>
      </c>
      <c r="G1217" s="1964">
        <f t="shared" si="83"/>
        <v>363500</v>
      </c>
      <c r="H1217" s="2927">
        <f t="shared" si="81"/>
        <v>1.454</v>
      </c>
      <c r="J1217" s="1702"/>
    </row>
    <row r="1218" spans="1:10" s="1906" customFormat="1" ht="17.100000000000001" customHeight="1">
      <c r="A1218" s="1923"/>
      <c r="B1218" s="4436"/>
      <c r="C1218" s="4440" t="s">
        <v>941</v>
      </c>
      <c r="D1218" s="4441"/>
      <c r="E1218" s="2912">
        <f t="shared" si="83"/>
        <v>250000</v>
      </c>
      <c r="F1218" s="2912">
        <f t="shared" si="83"/>
        <v>250000</v>
      </c>
      <c r="G1218" s="2911">
        <f t="shared" si="83"/>
        <v>363500</v>
      </c>
      <c r="H1218" s="2926">
        <f t="shared" si="81"/>
        <v>1.454</v>
      </c>
      <c r="J1218" s="1702"/>
    </row>
    <row r="1219" spans="1:10" s="1906" customFormat="1" ht="17.100000000000001" customHeight="1">
      <c r="A1219" s="1923"/>
      <c r="B1219" s="4436"/>
      <c r="C1219" s="4433" t="s">
        <v>940</v>
      </c>
      <c r="D1219" s="4442"/>
      <c r="E1219" s="2892">
        <f t="shared" si="83"/>
        <v>250000</v>
      </c>
      <c r="F1219" s="2892">
        <f t="shared" si="83"/>
        <v>250000</v>
      </c>
      <c r="G1219" s="2870">
        <f t="shared" si="83"/>
        <v>363500</v>
      </c>
      <c r="H1219" s="2891">
        <f t="shared" si="81"/>
        <v>1.454</v>
      </c>
      <c r="J1219" s="1702"/>
    </row>
    <row r="1220" spans="1:10" s="1906" customFormat="1" ht="27" customHeight="1" thickBot="1">
      <c r="A1220" s="1912"/>
      <c r="B1220" s="4437"/>
      <c r="C1220" s="2925" t="s">
        <v>1274</v>
      </c>
      <c r="D1220" s="2924" t="s">
        <v>1273</v>
      </c>
      <c r="E1220" s="2857">
        <v>250000</v>
      </c>
      <c r="F1220" s="2857">
        <v>250000</v>
      </c>
      <c r="G1220" s="1915">
        <v>363500</v>
      </c>
      <c r="H1220" s="2923">
        <f t="shared" si="81"/>
        <v>1.454</v>
      </c>
      <c r="J1220" s="1702" t="s">
        <v>1064</v>
      </c>
    </row>
    <row r="1221" spans="1:10" s="1906" customFormat="1" ht="17.25" customHeight="1" thickBot="1">
      <c r="A1221" s="1954"/>
      <c r="B1221" s="1971" t="s">
        <v>781</v>
      </c>
      <c r="C1221" s="1970"/>
      <c r="D1221" s="1969" t="s">
        <v>1275</v>
      </c>
      <c r="E1221" s="1968">
        <f t="shared" ref="E1221:G1223" si="84">SUM(E1222)</f>
        <v>500000</v>
      </c>
      <c r="F1221" s="1968">
        <f t="shared" si="84"/>
        <v>500000</v>
      </c>
      <c r="G1221" s="1967">
        <f t="shared" si="84"/>
        <v>500000</v>
      </c>
      <c r="H1221" s="1966">
        <f t="shared" si="81"/>
        <v>1</v>
      </c>
      <c r="J1221" s="1702"/>
    </row>
    <row r="1222" spans="1:10" s="1906" customFormat="1" ht="17.100000000000001" customHeight="1">
      <c r="A1222" s="1923"/>
      <c r="B1222" s="4306"/>
      <c r="C1222" s="4279" t="s">
        <v>941</v>
      </c>
      <c r="D1222" s="4279"/>
      <c r="E1222" s="2922">
        <f t="shared" si="84"/>
        <v>500000</v>
      </c>
      <c r="F1222" s="2922">
        <f t="shared" si="84"/>
        <v>500000</v>
      </c>
      <c r="G1222" s="2911">
        <f t="shared" si="84"/>
        <v>500000</v>
      </c>
      <c r="H1222" s="2508">
        <f t="shared" si="81"/>
        <v>1</v>
      </c>
      <c r="J1222" s="1702"/>
    </row>
    <row r="1223" spans="1:10" s="1906" customFormat="1" ht="17.100000000000001" customHeight="1">
      <c r="A1223" s="1923"/>
      <c r="B1223" s="4306"/>
      <c r="C1223" s="4433" t="s">
        <v>940</v>
      </c>
      <c r="D1223" s="4442"/>
      <c r="E1223" s="2883">
        <f t="shared" si="84"/>
        <v>500000</v>
      </c>
      <c r="F1223" s="2883">
        <f t="shared" si="84"/>
        <v>500000</v>
      </c>
      <c r="G1223" s="2870">
        <f t="shared" si="84"/>
        <v>500000</v>
      </c>
      <c r="H1223" s="2887">
        <f t="shared" si="81"/>
        <v>1</v>
      </c>
      <c r="J1223" s="1702"/>
    </row>
    <row r="1224" spans="1:10" s="1906" customFormat="1" ht="27" customHeight="1" thickBot="1">
      <c r="A1224" s="1922"/>
      <c r="B1224" s="4443"/>
      <c r="C1224" s="2910" t="s">
        <v>1274</v>
      </c>
      <c r="D1224" s="2909" t="s">
        <v>1273</v>
      </c>
      <c r="E1224" s="2857">
        <v>500000</v>
      </c>
      <c r="F1224" s="2857">
        <v>500000</v>
      </c>
      <c r="G1224" s="1915">
        <v>500000</v>
      </c>
      <c r="H1224" s="2856">
        <f t="shared" si="81"/>
        <v>1</v>
      </c>
      <c r="J1224" s="1702" t="s">
        <v>1064</v>
      </c>
    </row>
    <row r="1225" spans="1:10" s="1702" customFormat="1" ht="18" hidden="1" customHeight="1" thickBot="1">
      <c r="A1225" s="1756"/>
      <c r="B1225" s="2112" t="s">
        <v>1272</v>
      </c>
      <c r="C1225" s="2111"/>
      <c r="D1225" s="2110" t="s">
        <v>1271</v>
      </c>
      <c r="E1225" s="2109">
        <f>SUM(E1226,E1230)</f>
        <v>0</v>
      </c>
      <c r="F1225" s="2109">
        <f>SUM(F1226,F1230)</f>
        <v>111000</v>
      </c>
      <c r="G1225" s="2108">
        <f>SUM(G1226,G1230)</f>
        <v>0</v>
      </c>
      <c r="H1225" s="2107">
        <f t="shared" si="81"/>
        <v>0</v>
      </c>
    </row>
    <row r="1226" spans="1:10" s="1702" customFormat="1" ht="13.5" hidden="1" thickBot="1">
      <c r="A1226" s="1756"/>
      <c r="B1226" s="1831"/>
      <c r="C1226" s="4296" t="s">
        <v>944</v>
      </c>
      <c r="D1226" s="4296"/>
      <c r="E1226" s="2918">
        <f t="shared" ref="E1226:G1227" si="85">SUM(E1227)</f>
        <v>0</v>
      </c>
      <c r="F1226" s="2918">
        <f t="shared" si="85"/>
        <v>63000</v>
      </c>
      <c r="G1226" s="2781">
        <f t="shared" si="85"/>
        <v>0</v>
      </c>
      <c r="H1226" s="2537">
        <f t="shared" si="81"/>
        <v>0</v>
      </c>
    </row>
    <row r="1227" spans="1:10" s="1702" customFormat="1" ht="13.5" hidden="1" thickBot="1">
      <c r="A1227" s="1756"/>
      <c r="B1227" s="1831"/>
      <c r="C1227" s="4427" t="s">
        <v>943</v>
      </c>
      <c r="D1227" s="4427"/>
      <c r="E1227" s="2916">
        <f t="shared" si="85"/>
        <v>0</v>
      </c>
      <c r="F1227" s="2916">
        <f t="shared" si="85"/>
        <v>63000</v>
      </c>
      <c r="G1227" s="2686">
        <f t="shared" si="85"/>
        <v>0</v>
      </c>
      <c r="H1227" s="2915">
        <f t="shared" si="81"/>
        <v>0</v>
      </c>
    </row>
    <row r="1228" spans="1:10" s="1702" customFormat="1" ht="39" hidden="1" thickBot="1">
      <c r="A1228" s="1756"/>
      <c r="B1228" s="1831"/>
      <c r="C1228" s="2921" t="s">
        <v>91</v>
      </c>
      <c r="D1228" s="2920" t="s">
        <v>942</v>
      </c>
      <c r="E1228" s="2919">
        <v>0</v>
      </c>
      <c r="F1228" s="2916">
        <v>63000</v>
      </c>
      <c r="G1228" s="2686">
        <v>0</v>
      </c>
      <c r="H1228" s="2915">
        <f t="shared" si="81"/>
        <v>0</v>
      </c>
    </row>
    <row r="1229" spans="1:10" s="1702" customFormat="1" ht="13.5" hidden="1" thickBot="1">
      <c r="A1229" s="1756"/>
      <c r="B1229" s="1831"/>
      <c r="C1229" s="4428"/>
      <c r="D1229" s="4429"/>
      <c r="E1229" s="2919"/>
      <c r="F1229" s="2916"/>
      <c r="G1229" s="2686"/>
      <c r="H1229" s="2915"/>
    </row>
    <row r="1230" spans="1:10" s="1702" customFormat="1" ht="15.75" hidden="1" thickBot="1">
      <c r="A1230" s="1756"/>
      <c r="B1230" s="1831"/>
      <c r="C1230" s="4430" t="s">
        <v>941</v>
      </c>
      <c r="D1230" s="4431"/>
      <c r="E1230" s="2918">
        <f t="shared" ref="E1230:G1231" si="86">SUM(E1231)</f>
        <v>0</v>
      </c>
      <c r="F1230" s="2918">
        <f t="shared" si="86"/>
        <v>48000</v>
      </c>
      <c r="G1230" s="2781">
        <f t="shared" si="86"/>
        <v>0</v>
      </c>
      <c r="H1230" s="2917">
        <f t="shared" ref="H1230:H1245" si="87">G1230/F1230</f>
        <v>0</v>
      </c>
    </row>
    <row r="1231" spans="1:10" s="1702" customFormat="1" ht="15.75" hidden="1" thickBot="1">
      <c r="A1231" s="1756"/>
      <c r="B1231" s="1831"/>
      <c r="C1231" s="4427" t="s">
        <v>940</v>
      </c>
      <c r="D1231" s="4432"/>
      <c r="E1231" s="2916">
        <f t="shared" si="86"/>
        <v>0</v>
      </c>
      <c r="F1231" s="2916">
        <f t="shared" si="86"/>
        <v>48000</v>
      </c>
      <c r="G1231" s="2686">
        <f t="shared" si="86"/>
        <v>0</v>
      </c>
      <c r="H1231" s="2915">
        <f t="shared" si="87"/>
        <v>0</v>
      </c>
    </row>
    <row r="1232" spans="1:10" s="1702" customFormat="1" ht="42.75" hidden="1" customHeight="1" thickBot="1">
      <c r="A1232" s="1831"/>
      <c r="B1232" s="1847"/>
      <c r="C1232" s="2914" t="s">
        <v>939</v>
      </c>
      <c r="D1232" s="2913" t="s">
        <v>938</v>
      </c>
      <c r="E1232" s="2636">
        <v>0</v>
      </c>
      <c r="F1232" s="2636">
        <v>48000</v>
      </c>
      <c r="G1232" s="1738">
        <v>0</v>
      </c>
      <c r="H1232" s="2617">
        <f t="shared" si="87"/>
        <v>0</v>
      </c>
    </row>
    <row r="1233" spans="1:10" s="1906" customFormat="1" ht="17.100000000000001" customHeight="1" thickBot="1">
      <c r="A1233" s="1923"/>
      <c r="B1233" s="1971" t="s">
        <v>1270</v>
      </c>
      <c r="C1233" s="1985"/>
      <c r="D1233" s="1969" t="s">
        <v>1269</v>
      </c>
      <c r="E1233" s="1968">
        <f t="shared" ref="E1233:G1235" si="88">SUM(E1234)</f>
        <v>526000</v>
      </c>
      <c r="F1233" s="1968">
        <f t="shared" si="88"/>
        <v>526000</v>
      </c>
      <c r="G1233" s="1967">
        <f t="shared" si="88"/>
        <v>578600</v>
      </c>
      <c r="H1233" s="1966">
        <f t="shared" si="87"/>
        <v>1.1000000000000001</v>
      </c>
      <c r="J1233" s="1702"/>
    </row>
    <row r="1234" spans="1:10" s="1906" customFormat="1" ht="17.100000000000001" customHeight="1">
      <c r="A1234" s="1923"/>
      <c r="B1234" s="4129"/>
      <c r="C1234" s="4279" t="s">
        <v>944</v>
      </c>
      <c r="D1234" s="4279"/>
      <c r="E1234" s="2912">
        <f t="shared" si="88"/>
        <v>526000</v>
      </c>
      <c r="F1234" s="2912">
        <f t="shared" si="88"/>
        <v>526000</v>
      </c>
      <c r="G1234" s="2911">
        <f t="shared" si="88"/>
        <v>578600</v>
      </c>
      <c r="H1234" s="2508">
        <f t="shared" si="87"/>
        <v>1.1000000000000001</v>
      </c>
      <c r="J1234" s="1702"/>
    </row>
    <row r="1235" spans="1:10" s="1906" customFormat="1" ht="17.100000000000001" customHeight="1">
      <c r="A1235" s="1923"/>
      <c r="B1235" s="4129"/>
      <c r="C1235" s="4433" t="s">
        <v>943</v>
      </c>
      <c r="D1235" s="4433"/>
      <c r="E1235" s="2883">
        <f t="shared" si="88"/>
        <v>526000</v>
      </c>
      <c r="F1235" s="2883">
        <f t="shared" si="88"/>
        <v>526000</v>
      </c>
      <c r="G1235" s="2870">
        <f t="shared" si="88"/>
        <v>578600</v>
      </c>
      <c r="H1235" s="2887">
        <f t="shared" si="87"/>
        <v>1.1000000000000001</v>
      </c>
      <c r="J1235" s="1702"/>
    </row>
    <row r="1236" spans="1:10" s="1906" customFormat="1" ht="55.5" customHeight="1" thickBot="1">
      <c r="A1236" s="1913"/>
      <c r="B1236" s="4151"/>
      <c r="C1236" s="2910" t="s">
        <v>112</v>
      </c>
      <c r="D1236" s="2909" t="s">
        <v>956</v>
      </c>
      <c r="E1236" s="2908">
        <v>526000</v>
      </c>
      <c r="F1236" s="2908">
        <v>526000</v>
      </c>
      <c r="G1236" s="1915">
        <v>578600</v>
      </c>
      <c r="H1236" s="2891">
        <f t="shared" si="87"/>
        <v>1.1000000000000001</v>
      </c>
      <c r="J1236" s="1702" t="s">
        <v>1064</v>
      </c>
    </row>
    <row r="1237" spans="1:10" ht="15" hidden="1" customHeight="1" thickBot="1">
      <c r="A1237" s="1836"/>
      <c r="B1237" s="1822"/>
      <c r="C1237" s="4434" t="s">
        <v>941</v>
      </c>
      <c r="D1237" s="4435"/>
      <c r="E1237" s="2514">
        <v>0</v>
      </c>
      <c r="F1237" s="2526"/>
      <c r="G1237" s="1903"/>
      <c r="H1237" s="2907" t="e">
        <f t="shared" si="87"/>
        <v>#DIV/0!</v>
      </c>
    </row>
    <row r="1238" spans="1:10" ht="18" hidden="1" customHeight="1" thickBot="1">
      <c r="A1238" s="1836"/>
      <c r="B1238" s="1822"/>
      <c r="C1238" s="4413" t="s">
        <v>940</v>
      </c>
      <c r="D1238" s="4414"/>
      <c r="E1238" s="2906">
        <v>0</v>
      </c>
      <c r="F1238" s="2906"/>
      <c r="G1238" s="2681"/>
      <c r="H1238" s="2905" t="e">
        <f t="shared" si="87"/>
        <v>#DIV/0!</v>
      </c>
    </row>
    <row r="1239" spans="1:10" ht="54.75" hidden="1" customHeight="1" thickBot="1">
      <c r="A1239" s="1836"/>
      <c r="B1239" s="1822"/>
      <c r="C1239" s="2904" t="s">
        <v>947</v>
      </c>
      <c r="D1239" s="2903" t="s">
        <v>946</v>
      </c>
      <c r="E1239" s="2812">
        <v>0</v>
      </c>
      <c r="F1239" s="2902"/>
      <c r="G1239" s="2681"/>
      <c r="H1239" s="2901" t="e">
        <f t="shared" si="87"/>
        <v>#DIV/0!</v>
      </c>
    </row>
    <row r="1240" spans="1:10" s="1906" customFormat="1" ht="17.100000000000001" hidden="1" customHeight="1" thickBot="1">
      <c r="A1240" s="1923"/>
      <c r="B1240" s="1971" t="s">
        <v>1268</v>
      </c>
      <c r="C1240" s="2900"/>
      <c r="D1240" s="2899" t="s">
        <v>220</v>
      </c>
      <c r="E1240" s="1968">
        <f>SUM(E1241,E1254)</f>
        <v>50000</v>
      </c>
      <c r="F1240" s="1968">
        <f>SUM(F1241,F1254)</f>
        <v>6682891</v>
      </c>
      <c r="G1240" s="1967">
        <f>SUM(G1241,G1254)</f>
        <v>0</v>
      </c>
      <c r="H1240" s="1966">
        <f t="shared" si="87"/>
        <v>0</v>
      </c>
      <c r="J1240" s="1702"/>
    </row>
    <row r="1241" spans="1:10" s="1906" customFormat="1" ht="17.100000000000001" hidden="1" customHeight="1">
      <c r="A1241" s="1923"/>
      <c r="B1241" s="2898"/>
      <c r="C1241" s="4415" t="s">
        <v>944</v>
      </c>
      <c r="D1241" s="4416"/>
      <c r="E1241" s="2008">
        <f>SUM(E1242,E1247)</f>
        <v>50000</v>
      </c>
      <c r="F1241" s="2008">
        <f>SUM(F1242,F1247)</f>
        <v>6107891</v>
      </c>
      <c r="G1241" s="2007">
        <f>SUM(G1242,G1247)</f>
        <v>0</v>
      </c>
      <c r="H1241" s="2508">
        <f t="shared" si="87"/>
        <v>0</v>
      </c>
      <c r="J1241" s="1702"/>
    </row>
    <row r="1242" spans="1:10" s="1906" customFormat="1" ht="17.100000000000001" hidden="1" customHeight="1">
      <c r="A1242" s="1923"/>
      <c r="B1242" s="2874"/>
      <c r="C1242" s="4417" t="s">
        <v>967</v>
      </c>
      <c r="D1242" s="4418"/>
      <c r="E1242" s="2403">
        <f>SUM(E1243)</f>
        <v>50000</v>
      </c>
      <c r="F1242" s="2403">
        <f>SUM(F1243)</f>
        <v>3080891</v>
      </c>
      <c r="G1242" s="2894">
        <f>SUM(G1243)</f>
        <v>0</v>
      </c>
      <c r="H1242" s="2891">
        <f t="shared" si="87"/>
        <v>0</v>
      </c>
      <c r="J1242" s="1702"/>
    </row>
    <row r="1243" spans="1:10" s="1906" customFormat="1" ht="15" hidden="1" customHeight="1">
      <c r="A1243" s="1923"/>
      <c r="B1243" s="2874"/>
      <c r="C1243" s="4419" t="s">
        <v>961</v>
      </c>
      <c r="D1243" s="4420"/>
      <c r="E1243" s="2444">
        <f>SUM(E1244:E1245)</f>
        <v>50000</v>
      </c>
      <c r="F1243" s="2444">
        <f>SUM(F1244:F1245)</f>
        <v>3080891</v>
      </c>
      <c r="G1243" s="2897">
        <f>SUM(G1244:G1245)</f>
        <v>0</v>
      </c>
      <c r="H1243" s="2896">
        <f t="shared" si="87"/>
        <v>0</v>
      </c>
      <c r="J1243" s="1702"/>
    </row>
    <row r="1244" spans="1:10" s="1906" customFormat="1" ht="15" hidden="1" customHeight="1">
      <c r="A1244" s="1923"/>
      <c r="B1244" s="2874"/>
      <c r="C1244" s="2890" t="s">
        <v>613</v>
      </c>
      <c r="D1244" s="2893" t="s">
        <v>960</v>
      </c>
      <c r="E1244" s="2403">
        <v>0</v>
      </c>
      <c r="F1244" s="2892">
        <v>50000</v>
      </c>
      <c r="G1244" s="2870">
        <v>0</v>
      </c>
      <c r="H1244" s="2891">
        <f t="shared" si="87"/>
        <v>0</v>
      </c>
      <c r="J1244" s="1702"/>
    </row>
    <row r="1245" spans="1:10" s="1906" customFormat="1" ht="15" hidden="1" customHeight="1">
      <c r="A1245" s="1923"/>
      <c r="B1245" s="2874"/>
      <c r="C1245" s="2895" t="s">
        <v>959</v>
      </c>
      <c r="D1245" s="2893" t="s">
        <v>958</v>
      </c>
      <c r="E1245" s="2403">
        <v>50000</v>
      </c>
      <c r="F1245" s="2892">
        <v>3030891</v>
      </c>
      <c r="G1245" s="2870">
        <v>0</v>
      </c>
      <c r="H1245" s="2891">
        <f t="shared" si="87"/>
        <v>0</v>
      </c>
      <c r="J1245" s="1702"/>
    </row>
    <row r="1246" spans="1:10" s="1906" customFormat="1" ht="15" hidden="1" customHeight="1">
      <c r="A1246" s="1923"/>
      <c r="B1246" s="2874"/>
      <c r="C1246" s="2895"/>
      <c r="D1246" s="2893"/>
      <c r="E1246" s="2403"/>
      <c r="F1246" s="2892"/>
      <c r="G1246" s="2870"/>
      <c r="H1246" s="2891"/>
      <c r="J1246" s="1702"/>
    </row>
    <row r="1247" spans="1:10" s="1906" customFormat="1" ht="16.5" hidden="1" customHeight="1">
      <c r="A1247" s="1923"/>
      <c r="B1247" s="2874"/>
      <c r="C1247" s="4421" t="s">
        <v>943</v>
      </c>
      <c r="D1247" s="4422"/>
      <c r="E1247" s="2403">
        <f>SUM(E1249:E1252)</f>
        <v>0</v>
      </c>
      <c r="F1247" s="2403">
        <f>SUM(F1249:F1252)</f>
        <v>3027000</v>
      </c>
      <c r="G1247" s="2894">
        <f>SUM(G1249:G1252)</f>
        <v>0</v>
      </c>
      <c r="H1247" s="2891">
        <f t="shared" ref="H1247:H1252" si="89">G1247/F1247</f>
        <v>0</v>
      </c>
      <c r="J1247" s="1702"/>
    </row>
    <row r="1248" spans="1:10" s="1906" customFormat="1" ht="51" hidden="1" customHeight="1">
      <c r="A1248" s="1923"/>
      <c r="B1248" s="2874"/>
      <c r="C1248" s="2890" t="s">
        <v>112</v>
      </c>
      <c r="D1248" s="2893" t="s">
        <v>956</v>
      </c>
      <c r="E1248" s="2403">
        <v>0</v>
      </c>
      <c r="F1248" s="2892"/>
      <c r="G1248" s="2870"/>
      <c r="H1248" s="2891" t="e">
        <f t="shared" si="89"/>
        <v>#DIV/0!</v>
      </c>
      <c r="J1248" s="1702"/>
    </row>
    <row r="1249" spans="1:10" s="1906" customFormat="1" ht="42.75" hidden="1" customHeight="1">
      <c r="A1249" s="1923"/>
      <c r="B1249" s="2874"/>
      <c r="C1249" s="2890" t="s">
        <v>1165</v>
      </c>
      <c r="D1249" s="2889" t="s">
        <v>1164</v>
      </c>
      <c r="E1249" s="2888">
        <v>0</v>
      </c>
      <c r="F1249" s="2883">
        <v>1746000</v>
      </c>
      <c r="G1249" s="2870">
        <v>0</v>
      </c>
      <c r="H1249" s="2887">
        <f t="shared" si="89"/>
        <v>0</v>
      </c>
      <c r="J1249" s="1702"/>
    </row>
    <row r="1250" spans="1:10" s="1906" customFormat="1" ht="42.75" hidden="1" customHeight="1">
      <c r="A1250" s="1923"/>
      <c r="B1250" s="2874"/>
      <c r="C1250" s="2886" t="s">
        <v>91</v>
      </c>
      <c r="D1250" s="2885" t="s">
        <v>942</v>
      </c>
      <c r="E1250" s="2403">
        <v>0</v>
      </c>
      <c r="F1250" s="2883">
        <v>775000</v>
      </c>
      <c r="G1250" s="2870">
        <v>0</v>
      </c>
      <c r="H1250" s="2882">
        <f t="shared" si="89"/>
        <v>0</v>
      </c>
      <c r="J1250" s="1702"/>
    </row>
    <row r="1251" spans="1:10" s="1906" customFormat="1" ht="27" hidden="1" customHeight="1">
      <c r="A1251" s="1923"/>
      <c r="B1251" s="2874"/>
      <c r="C1251" s="2881" t="s">
        <v>1039</v>
      </c>
      <c r="D1251" s="2884" t="s">
        <v>1267</v>
      </c>
      <c r="E1251" s="2403">
        <v>0</v>
      </c>
      <c r="F1251" s="2883">
        <v>6000</v>
      </c>
      <c r="G1251" s="2870">
        <v>0</v>
      </c>
      <c r="H1251" s="2882">
        <f t="shared" si="89"/>
        <v>0</v>
      </c>
      <c r="J1251" s="1702"/>
    </row>
    <row r="1252" spans="1:10" s="1906" customFormat="1" ht="27" hidden="1" customHeight="1">
      <c r="A1252" s="1923"/>
      <c r="B1252" s="2874"/>
      <c r="C1252" s="2881" t="s">
        <v>954</v>
      </c>
      <c r="D1252" s="2880" t="s">
        <v>953</v>
      </c>
      <c r="E1252" s="2403">
        <v>0</v>
      </c>
      <c r="F1252" s="2878">
        <v>500000</v>
      </c>
      <c r="G1252" s="2870">
        <v>0</v>
      </c>
      <c r="H1252" s="2875">
        <f t="shared" si="89"/>
        <v>0</v>
      </c>
      <c r="J1252" s="1702"/>
    </row>
    <row r="1253" spans="1:10" s="1906" customFormat="1" ht="15" hidden="1" customHeight="1">
      <c r="A1253" s="1922"/>
      <c r="B1253" s="2014"/>
      <c r="C1253" s="2879"/>
      <c r="D1253" s="2877"/>
      <c r="E1253" s="2878"/>
      <c r="F1253" s="2878"/>
      <c r="G1253" s="2870"/>
      <c r="H1253" s="2875"/>
      <c r="J1253" s="1702"/>
    </row>
    <row r="1254" spans="1:10" s="1906" customFormat="1" ht="15.75" hidden="1" thickBot="1">
      <c r="A1254" s="1923"/>
      <c r="B1254" s="2874"/>
      <c r="C1254" s="4423" t="s">
        <v>941</v>
      </c>
      <c r="D1254" s="4424"/>
      <c r="E1254" s="2509">
        <f>SUM(E1255)</f>
        <v>0</v>
      </c>
      <c r="F1254" s="2509">
        <f>SUM(F1255)</f>
        <v>575000</v>
      </c>
      <c r="G1254" s="1964">
        <f>SUM(G1255)</f>
        <v>0</v>
      </c>
      <c r="H1254" s="2508">
        <f t="shared" ref="H1254:H1277" si="90">G1254/F1254</f>
        <v>0</v>
      </c>
      <c r="J1254" s="1702"/>
    </row>
    <row r="1255" spans="1:10" s="1906" customFormat="1" ht="15" hidden="1" customHeight="1">
      <c r="A1255" s="1923"/>
      <c r="B1255" s="2874"/>
      <c r="C1255" s="4425" t="s">
        <v>940</v>
      </c>
      <c r="D1255" s="4426"/>
      <c r="E1255" s="2403">
        <f>SUM(E1257:E1258)</f>
        <v>0</v>
      </c>
      <c r="F1255" s="2403">
        <f>SUM(F1257:F1258)</f>
        <v>575000</v>
      </c>
      <c r="G1255" s="2876">
        <f>SUM(G1257:G1258)</f>
        <v>0</v>
      </c>
      <c r="H1255" s="2875">
        <f t="shared" si="90"/>
        <v>0</v>
      </c>
      <c r="J1255" s="1702"/>
    </row>
    <row r="1256" spans="1:10" s="1906" customFormat="1" ht="39" hidden="1" customHeight="1">
      <c r="A1256" s="1923"/>
      <c r="B1256" s="2874"/>
      <c r="C1256" s="2873" t="s">
        <v>947</v>
      </c>
      <c r="D1256" s="2877" t="s">
        <v>938</v>
      </c>
      <c r="E1256" s="2403">
        <v>0</v>
      </c>
      <c r="F1256" s="2403">
        <v>0</v>
      </c>
      <c r="G1256" s="2876">
        <v>0</v>
      </c>
      <c r="H1256" s="2875" t="e">
        <f t="shared" si="90"/>
        <v>#DIV/0!</v>
      </c>
      <c r="J1256" s="1702"/>
    </row>
    <row r="1257" spans="1:10" s="1906" customFormat="1" ht="42" hidden="1" customHeight="1">
      <c r="A1257" s="1923"/>
      <c r="B1257" s="2874"/>
      <c r="C1257" s="2873" t="s">
        <v>1152</v>
      </c>
      <c r="D1257" s="2872" t="s">
        <v>1151</v>
      </c>
      <c r="E1257" s="2871">
        <v>0</v>
      </c>
      <c r="F1257" s="2871">
        <v>500000</v>
      </c>
      <c r="G1257" s="2870">
        <v>0</v>
      </c>
      <c r="H1257" s="2860">
        <f t="shared" si="90"/>
        <v>0</v>
      </c>
      <c r="J1257" s="1702"/>
    </row>
    <row r="1258" spans="1:10" s="1906" customFormat="1" ht="43.5" hidden="1" customHeight="1" thickBot="1">
      <c r="A1258" s="1913"/>
      <c r="B1258" s="2869"/>
      <c r="C1258" s="2868" t="s">
        <v>939</v>
      </c>
      <c r="D1258" s="2867" t="s">
        <v>938</v>
      </c>
      <c r="E1258" s="2857">
        <v>0</v>
      </c>
      <c r="F1258" s="2857">
        <v>75000</v>
      </c>
      <c r="G1258" s="1915">
        <v>0</v>
      </c>
      <c r="H1258" s="2856">
        <f t="shared" si="90"/>
        <v>0</v>
      </c>
      <c r="J1258" s="1702"/>
    </row>
    <row r="1259" spans="1:10" ht="13.5" hidden="1" thickBot="1">
      <c r="A1259" s="1836"/>
      <c r="B1259" s="2462" t="s">
        <v>1266</v>
      </c>
      <c r="C1259" s="2461"/>
      <c r="D1259" s="2460" t="s">
        <v>50</v>
      </c>
      <c r="E1259" s="2459">
        <v>0</v>
      </c>
      <c r="F1259" s="2526"/>
      <c r="G1259" s="1903"/>
      <c r="H1259" s="2545" t="e">
        <f t="shared" si="90"/>
        <v>#DIV/0!</v>
      </c>
    </row>
    <row r="1260" spans="1:10" ht="0.75" hidden="1" customHeight="1" thickBot="1">
      <c r="A1260" s="1836"/>
      <c r="B1260" s="1822"/>
      <c r="C1260" s="4278" t="s">
        <v>944</v>
      </c>
      <c r="D1260" s="4278"/>
      <c r="E1260" s="2196">
        <v>0</v>
      </c>
      <c r="F1260" s="2682"/>
      <c r="G1260" s="2681"/>
      <c r="H1260" s="2757" t="e">
        <f t="shared" si="90"/>
        <v>#DIV/0!</v>
      </c>
    </row>
    <row r="1261" spans="1:10" ht="13.5" hidden="1" thickBot="1">
      <c r="A1261" s="1836"/>
      <c r="B1261" s="1822"/>
      <c r="C1261" s="4381" t="s">
        <v>943</v>
      </c>
      <c r="D1261" s="4381"/>
      <c r="E1261" s="2682">
        <v>0</v>
      </c>
      <c r="F1261" s="2682"/>
      <c r="G1261" s="2681"/>
      <c r="H1261" s="2757" t="e">
        <f t="shared" si="90"/>
        <v>#DIV/0!</v>
      </c>
    </row>
    <row r="1262" spans="1:10" ht="39" hidden="1" thickBot="1">
      <c r="A1262" s="1836"/>
      <c r="B1262" s="1822"/>
      <c r="C1262" s="2866" t="s">
        <v>91</v>
      </c>
      <c r="D1262" s="2791" t="s">
        <v>942</v>
      </c>
      <c r="E1262" s="2815">
        <v>0</v>
      </c>
      <c r="F1262" s="2682"/>
      <c r="G1262" s="2681"/>
      <c r="H1262" s="2811" t="e">
        <f t="shared" si="90"/>
        <v>#DIV/0!</v>
      </c>
    </row>
    <row r="1263" spans="1:10" ht="17.100000000000001" customHeight="1" thickBot="1">
      <c r="A1263" s="1844" t="s">
        <v>1265</v>
      </c>
      <c r="B1263" s="1843"/>
      <c r="C1263" s="1842"/>
      <c r="D1263" s="1841" t="s">
        <v>1264</v>
      </c>
      <c r="E1263" s="1737">
        <f>SUM(E1264,E1268)</f>
        <v>18747646</v>
      </c>
      <c r="F1263" s="1737">
        <f>SUM(F1264,F1268)</f>
        <v>18747646</v>
      </c>
      <c r="G1263" s="1736">
        <f>SUM(G1264,G1268)</f>
        <v>28587025</v>
      </c>
      <c r="H1263" s="1840">
        <f t="shared" si="90"/>
        <v>1.5248327710049572</v>
      </c>
    </row>
    <row r="1264" spans="1:10" s="1906" customFormat="1" ht="40.5" customHeight="1" thickBot="1">
      <c r="A1264" s="1923"/>
      <c r="B1264" s="1971" t="s">
        <v>1263</v>
      </c>
      <c r="C1264" s="1970"/>
      <c r="D1264" s="1969" t="s">
        <v>1262</v>
      </c>
      <c r="E1264" s="1968">
        <f t="shared" ref="E1264:G1266" si="91">SUM(E1265)</f>
        <v>7752608</v>
      </c>
      <c r="F1264" s="1968">
        <f t="shared" si="91"/>
        <v>7752608</v>
      </c>
      <c r="G1264" s="1967">
        <f t="shared" si="91"/>
        <v>12501292</v>
      </c>
      <c r="H1264" s="1966">
        <f t="shared" si="90"/>
        <v>1.6125272940409214</v>
      </c>
      <c r="J1264" s="1702"/>
    </row>
    <row r="1265" spans="1:10" s="1906" customFormat="1" ht="17.100000000000001" customHeight="1">
      <c r="A1265" s="1923"/>
      <c r="B1265" s="4129"/>
      <c r="C1265" s="4407" t="s">
        <v>944</v>
      </c>
      <c r="D1265" s="4152"/>
      <c r="E1265" s="2864">
        <f t="shared" si="91"/>
        <v>7752608</v>
      </c>
      <c r="F1265" s="2864">
        <f t="shared" si="91"/>
        <v>7752608</v>
      </c>
      <c r="G1265" s="2863">
        <f t="shared" si="91"/>
        <v>12501292</v>
      </c>
      <c r="H1265" s="2508">
        <f t="shared" si="90"/>
        <v>1.6125272940409214</v>
      </c>
      <c r="J1265" s="1702"/>
    </row>
    <row r="1266" spans="1:10" s="1906" customFormat="1" ht="17.100000000000001" customHeight="1">
      <c r="A1266" s="1923"/>
      <c r="B1266" s="4129"/>
      <c r="C1266" s="4408" t="s">
        <v>1261</v>
      </c>
      <c r="D1266" s="4409"/>
      <c r="E1266" s="2862">
        <f t="shared" si="91"/>
        <v>7752608</v>
      </c>
      <c r="F1266" s="2862">
        <f t="shared" si="91"/>
        <v>7752608</v>
      </c>
      <c r="G1266" s="2861">
        <f t="shared" si="91"/>
        <v>12501292</v>
      </c>
      <c r="H1266" s="2860">
        <f t="shared" si="90"/>
        <v>1.6125272940409214</v>
      </c>
      <c r="J1266" s="1702"/>
    </row>
    <row r="1267" spans="1:10" s="1906" customFormat="1" ht="29.25" customHeight="1" thickBot="1">
      <c r="A1267" s="1923"/>
      <c r="B1267" s="4151"/>
      <c r="C1267" s="2865" t="s">
        <v>1260</v>
      </c>
      <c r="D1267" s="2858" t="s">
        <v>1259</v>
      </c>
      <c r="E1267" s="2857">
        <v>7752608</v>
      </c>
      <c r="F1267" s="2857">
        <v>7752608</v>
      </c>
      <c r="G1267" s="1915">
        <v>12501292</v>
      </c>
      <c r="H1267" s="2856">
        <f t="shared" si="90"/>
        <v>1.6125272940409214</v>
      </c>
      <c r="J1267" s="1702"/>
    </row>
    <row r="1268" spans="1:10" s="1906" customFormat="1" ht="26.25" customHeight="1" thickBot="1">
      <c r="A1268" s="1922"/>
      <c r="B1268" s="1971" t="s">
        <v>1258</v>
      </c>
      <c r="C1268" s="1970"/>
      <c r="D1268" s="1969" t="s">
        <v>1257</v>
      </c>
      <c r="E1268" s="1968">
        <f t="shared" ref="E1268:G1270" si="92">SUM(E1269)</f>
        <v>10995038</v>
      </c>
      <c r="F1268" s="1968">
        <f t="shared" si="92"/>
        <v>10995038</v>
      </c>
      <c r="G1268" s="1967">
        <f t="shared" si="92"/>
        <v>16085733</v>
      </c>
      <c r="H1268" s="1966">
        <f t="shared" si="90"/>
        <v>1.4629993093248064</v>
      </c>
      <c r="J1268" s="1702"/>
    </row>
    <row r="1269" spans="1:10" s="1906" customFormat="1" ht="17.100000000000001" customHeight="1">
      <c r="A1269" s="2033"/>
      <c r="B1269" s="4129"/>
      <c r="C1269" s="4279" t="s">
        <v>944</v>
      </c>
      <c r="D1269" s="4279"/>
      <c r="E1269" s="2864">
        <f t="shared" si="92"/>
        <v>10995038</v>
      </c>
      <c r="F1269" s="2864">
        <f t="shared" si="92"/>
        <v>10995038</v>
      </c>
      <c r="G1269" s="2863">
        <f t="shared" si="92"/>
        <v>16085733</v>
      </c>
      <c r="H1269" s="2508">
        <f t="shared" si="90"/>
        <v>1.4629993093248064</v>
      </c>
      <c r="J1269" s="1702"/>
    </row>
    <row r="1270" spans="1:10" s="1906" customFormat="1" ht="17.100000000000001" customHeight="1">
      <c r="A1270" s="2033"/>
      <c r="B1270" s="4129"/>
      <c r="C1270" s="4409" t="s">
        <v>1256</v>
      </c>
      <c r="D1270" s="4409"/>
      <c r="E1270" s="2862">
        <f t="shared" si="92"/>
        <v>10995038</v>
      </c>
      <c r="F1270" s="2862">
        <f t="shared" si="92"/>
        <v>10995038</v>
      </c>
      <c r="G1270" s="2861">
        <f t="shared" si="92"/>
        <v>16085733</v>
      </c>
      <c r="H1270" s="2860">
        <f t="shared" si="90"/>
        <v>1.4629993093248064</v>
      </c>
      <c r="J1270" s="1702"/>
    </row>
    <row r="1271" spans="1:10" s="1906" customFormat="1" ht="17.100000000000001" customHeight="1" thickBot="1">
      <c r="A1271" s="1913"/>
      <c r="B1271" s="4151"/>
      <c r="C1271" s="2859" t="s">
        <v>1255</v>
      </c>
      <c r="D1271" s="2858" t="s">
        <v>1254</v>
      </c>
      <c r="E1271" s="2857">
        <v>10995038</v>
      </c>
      <c r="F1271" s="2857">
        <v>10995038</v>
      </c>
      <c r="G1271" s="1915">
        <v>16085733</v>
      </c>
      <c r="H1271" s="2856">
        <f t="shared" si="90"/>
        <v>1.4629993093248064</v>
      </c>
      <c r="J1271" s="1702"/>
    </row>
    <row r="1272" spans="1:10" ht="17.100000000000001" customHeight="1" thickBot="1">
      <c r="A1272" s="1844" t="s">
        <v>1253</v>
      </c>
      <c r="B1272" s="2525"/>
      <c r="C1272" s="2524"/>
      <c r="D1272" s="2855" t="s">
        <v>1252</v>
      </c>
      <c r="E1272" s="2522">
        <f>SUM(E1273)</f>
        <v>86048000</v>
      </c>
      <c r="F1272" s="2522">
        <f>SUM(F1273)</f>
        <v>51262146</v>
      </c>
      <c r="G1272" s="2521">
        <f>SUM(G1273)</f>
        <v>102260000</v>
      </c>
      <c r="H1272" s="1840">
        <f t="shared" si="90"/>
        <v>1.9948443048014417</v>
      </c>
    </row>
    <row r="1273" spans="1:10" ht="17.100000000000001" customHeight="1" thickBot="1">
      <c r="A1273" s="1756"/>
      <c r="B1273" s="1768" t="s">
        <v>1251</v>
      </c>
      <c r="C1273" s="1839"/>
      <c r="D1273" s="2854" t="s">
        <v>1250</v>
      </c>
      <c r="E1273" s="1818">
        <f>SUM(E1274,E1279)</f>
        <v>86048000</v>
      </c>
      <c r="F1273" s="1818">
        <f>SUM(F1274,F1279)</f>
        <v>51262146</v>
      </c>
      <c r="G1273" s="1817">
        <f>SUM(G1274,G1279)</f>
        <v>102260000</v>
      </c>
      <c r="H1273" s="1763">
        <f t="shared" si="90"/>
        <v>1.9948443048014417</v>
      </c>
      <c r="I1273" s="1704"/>
    </row>
    <row r="1274" spans="1:10" ht="17.100000000000001" customHeight="1">
      <c r="A1274" s="1756"/>
      <c r="B1274" s="2480"/>
      <c r="C1274" s="4296" t="s">
        <v>944</v>
      </c>
      <c r="D1274" s="4391"/>
      <c r="E1274" s="2538">
        <f t="shared" ref="E1274:G1276" si="93">SUM(E1275)</f>
        <v>29348000</v>
      </c>
      <c r="F1274" s="2538">
        <f t="shared" si="93"/>
        <v>16652018</v>
      </c>
      <c r="G1274" s="1761">
        <f t="shared" si="93"/>
        <v>40660000</v>
      </c>
      <c r="H1274" s="2537">
        <f t="shared" si="90"/>
        <v>2.4417460994817564</v>
      </c>
      <c r="I1274" s="1704"/>
    </row>
    <row r="1275" spans="1:10" ht="17.100000000000001" customHeight="1">
      <c r="A1275" s="1756"/>
      <c r="B1275" s="2480"/>
      <c r="C1275" s="4387" t="s">
        <v>967</v>
      </c>
      <c r="D1275" s="4410"/>
      <c r="E1275" s="2687">
        <f t="shared" si="93"/>
        <v>29348000</v>
      </c>
      <c r="F1275" s="2687">
        <f t="shared" si="93"/>
        <v>16652018</v>
      </c>
      <c r="G1275" s="2686">
        <f t="shared" si="93"/>
        <v>40660000</v>
      </c>
      <c r="H1275" s="2734">
        <f t="shared" si="90"/>
        <v>2.4417460994817564</v>
      </c>
      <c r="I1275" s="1704"/>
    </row>
    <row r="1276" spans="1:10" ht="17.100000000000001" customHeight="1">
      <c r="A1276" s="1756"/>
      <c r="B1276" s="2480"/>
      <c r="C1276" s="4411" t="s">
        <v>961</v>
      </c>
      <c r="D1276" s="4412"/>
      <c r="E1276" s="2694">
        <f t="shared" si="93"/>
        <v>29348000</v>
      </c>
      <c r="F1276" s="2694">
        <f t="shared" si="93"/>
        <v>16652018</v>
      </c>
      <c r="G1276" s="2715">
        <f t="shared" si="93"/>
        <v>40660000</v>
      </c>
      <c r="H1276" s="2776">
        <f t="shared" si="90"/>
        <v>2.4417460994817564</v>
      </c>
      <c r="I1276" s="1704"/>
    </row>
    <row r="1277" spans="1:10" ht="17.100000000000001" customHeight="1">
      <c r="A1277" s="1756"/>
      <c r="B1277" s="2480"/>
      <c r="C1277" s="2801" t="s">
        <v>1249</v>
      </c>
      <c r="D1277" s="2743" t="s">
        <v>1248</v>
      </c>
      <c r="E1277" s="2800">
        <v>29348000</v>
      </c>
      <c r="F1277" s="2687">
        <v>16652018</v>
      </c>
      <c r="G1277" s="2686">
        <f>40860000-200000</f>
        <v>40660000</v>
      </c>
      <c r="H1277" s="2734">
        <f t="shared" si="90"/>
        <v>2.4417460994817564</v>
      </c>
      <c r="I1277" s="1704"/>
    </row>
    <row r="1278" spans="1:10" ht="15.75" thickBot="1">
      <c r="A1278" s="1831"/>
      <c r="B1278" s="2480"/>
      <c r="C1278" s="2853"/>
      <c r="D1278" s="2852"/>
      <c r="E1278" s="2851"/>
      <c r="F1278" s="2687"/>
      <c r="G1278" s="2686"/>
      <c r="H1278" s="2617"/>
      <c r="I1278" s="1704"/>
    </row>
    <row r="1279" spans="1:10" ht="17.100000000000001" customHeight="1">
      <c r="A1279" s="1756"/>
      <c r="B1279" s="2480"/>
      <c r="C1279" s="4385" t="s">
        <v>941</v>
      </c>
      <c r="D1279" s="4378"/>
      <c r="E1279" s="1750">
        <f t="shared" ref="E1279:G1280" si="94">SUM(E1280)</f>
        <v>56700000</v>
      </c>
      <c r="F1279" s="1750">
        <f t="shared" si="94"/>
        <v>34610128</v>
      </c>
      <c r="G1279" s="1749">
        <f t="shared" si="94"/>
        <v>61600000</v>
      </c>
      <c r="H1279" s="2227">
        <f t="shared" ref="H1279:H1286" si="95">G1279/F1279</f>
        <v>1.7798258359518346</v>
      </c>
      <c r="I1279" s="1704"/>
    </row>
    <row r="1280" spans="1:10" ht="17.100000000000001" customHeight="1">
      <c r="A1280" s="1756"/>
      <c r="B1280" s="2480"/>
      <c r="C1280" s="4382" t="s">
        <v>940</v>
      </c>
      <c r="D1280" s="4401"/>
      <c r="E1280" s="2800">
        <f t="shared" si="94"/>
        <v>56700000</v>
      </c>
      <c r="F1280" s="2800">
        <f t="shared" si="94"/>
        <v>34610128</v>
      </c>
      <c r="G1280" s="2850">
        <f t="shared" si="94"/>
        <v>61600000</v>
      </c>
      <c r="H1280" s="2734">
        <f t="shared" si="95"/>
        <v>1.7798258359518346</v>
      </c>
      <c r="I1280" s="1704"/>
    </row>
    <row r="1281" spans="1:8" ht="17.100000000000001" customHeight="1" thickBot="1">
      <c r="A1281" s="1743"/>
      <c r="B1281" s="2849"/>
      <c r="C1281" s="2114" t="s">
        <v>1247</v>
      </c>
      <c r="D1281" s="2848" t="s">
        <v>1246</v>
      </c>
      <c r="E1281" s="2636">
        <v>56700000</v>
      </c>
      <c r="F1281" s="2636">
        <v>34610128</v>
      </c>
      <c r="G1281" s="1738">
        <v>61600000</v>
      </c>
      <c r="H1281" s="2617">
        <f t="shared" si="95"/>
        <v>1.7798258359518346</v>
      </c>
    </row>
    <row r="1282" spans="1:8" ht="16.5" customHeight="1" thickBot="1">
      <c r="A1282" s="1844" t="s">
        <v>1245</v>
      </c>
      <c r="B1282" s="1843"/>
      <c r="C1282" s="2847"/>
      <c r="D1282" s="2846" t="s">
        <v>1244</v>
      </c>
      <c r="E1282" s="1737">
        <f>SUM(E1283,E1291,E1327,E1356,E1376,E1438,E1525,E1611)</f>
        <v>54167144</v>
      </c>
      <c r="F1282" s="1737">
        <f>SUM(F1283,F1291,F1327,F1356,F1376,F1438,F1525,F1611)</f>
        <v>59010998</v>
      </c>
      <c r="G1282" s="1736">
        <f>SUM(G1283,G1291,G1327,G1356,G1376,G1438,G1525,G1611)</f>
        <v>59829087</v>
      </c>
      <c r="H1282" s="1735">
        <f t="shared" si="95"/>
        <v>1.0138633310353435</v>
      </c>
    </row>
    <row r="1283" spans="1:8" s="1702" customFormat="1" ht="16.5" hidden="1" customHeight="1" thickBot="1">
      <c r="A1283" s="2845"/>
      <c r="B1283" s="2844" t="s">
        <v>1243</v>
      </c>
      <c r="C1283" s="1839"/>
      <c r="D1283" s="1838" t="s">
        <v>1242</v>
      </c>
      <c r="E1283" s="1818">
        <f>SUM(E1284,E1288)</f>
        <v>0</v>
      </c>
      <c r="F1283" s="1818">
        <f>SUM(F1284,F1288)</f>
        <v>28762</v>
      </c>
      <c r="G1283" s="1817">
        <f>SUM(G1284,G1288)</f>
        <v>0</v>
      </c>
      <c r="H1283" s="1763">
        <f t="shared" si="95"/>
        <v>0</v>
      </c>
    </row>
    <row r="1284" spans="1:8" s="1702" customFormat="1" ht="14.25" hidden="1" customHeight="1">
      <c r="A1284" s="1891"/>
      <c r="B1284" s="4402"/>
      <c r="C1284" s="4296" t="s">
        <v>944</v>
      </c>
      <c r="D1284" s="4391"/>
      <c r="E1284" s="2843">
        <f t="shared" ref="E1284:G1285" si="96">SUM(E1285)</f>
        <v>0</v>
      </c>
      <c r="F1284" s="2843">
        <f t="shared" si="96"/>
        <v>16762</v>
      </c>
      <c r="G1284" s="2842">
        <f t="shared" si="96"/>
        <v>0</v>
      </c>
      <c r="H1284" s="2537">
        <f t="shared" si="95"/>
        <v>0</v>
      </c>
    </row>
    <row r="1285" spans="1:8" s="1702" customFormat="1" ht="15.75" hidden="1" customHeight="1">
      <c r="A1285" s="1891"/>
      <c r="B1285" s="4403"/>
      <c r="C1285" s="4382" t="s">
        <v>943</v>
      </c>
      <c r="D1285" s="4393"/>
      <c r="E1285" s="2687">
        <f t="shared" si="96"/>
        <v>0</v>
      </c>
      <c r="F1285" s="2687">
        <f t="shared" si="96"/>
        <v>16762</v>
      </c>
      <c r="G1285" s="2686">
        <f t="shared" si="96"/>
        <v>0</v>
      </c>
      <c r="H1285" s="2734">
        <f t="shared" si="95"/>
        <v>0</v>
      </c>
    </row>
    <row r="1286" spans="1:8" s="1702" customFormat="1" ht="45" hidden="1" customHeight="1">
      <c r="A1286" s="1891"/>
      <c r="B1286" s="4403"/>
      <c r="C1286" s="2841" t="s">
        <v>91</v>
      </c>
      <c r="D1286" s="2775" t="s">
        <v>942</v>
      </c>
      <c r="E1286" s="2705">
        <v>0</v>
      </c>
      <c r="F1286" s="2687">
        <v>16762</v>
      </c>
      <c r="G1286" s="2686">
        <v>0</v>
      </c>
      <c r="H1286" s="2734">
        <f t="shared" si="95"/>
        <v>0</v>
      </c>
    </row>
    <row r="1287" spans="1:8" s="1702" customFormat="1" ht="13.5" hidden="1" customHeight="1">
      <c r="A1287" s="1891"/>
      <c r="B1287" s="4403"/>
      <c r="C1287" s="4406"/>
      <c r="D1287" s="4406"/>
      <c r="E1287" s="2840"/>
      <c r="F1287" s="2687"/>
      <c r="G1287" s="2686"/>
      <c r="H1287" s="2734"/>
    </row>
    <row r="1288" spans="1:8" s="1702" customFormat="1" ht="16.5" hidden="1" customHeight="1">
      <c r="A1288" s="1891"/>
      <c r="B1288" s="4404"/>
      <c r="C1288" s="4385" t="s">
        <v>941</v>
      </c>
      <c r="D1288" s="4378"/>
      <c r="E1288" s="2839">
        <f t="shared" ref="E1288:G1289" si="97">SUM(E1289)</f>
        <v>0</v>
      </c>
      <c r="F1288" s="2839">
        <f t="shared" si="97"/>
        <v>12000</v>
      </c>
      <c r="G1288" s="2838">
        <f t="shared" si="97"/>
        <v>0</v>
      </c>
      <c r="H1288" s="2780">
        <f t="shared" ref="H1288:H1302" si="98">G1288/F1288</f>
        <v>0</v>
      </c>
    </row>
    <row r="1289" spans="1:8" s="1702" customFormat="1" ht="16.5" hidden="1" customHeight="1">
      <c r="A1289" s="1891"/>
      <c r="B1289" s="4404"/>
      <c r="C1289" s="4382" t="s">
        <v>940</v>
      </c>
      <c r="D1289" s="4401"/>
      <c r="E1289" s="2837">
        <f t="shared" si="97"/>
        <v>0</v>
      </c>
      <c r="F1289" s="2837">
        <f t="shared" si="97"/>
        <v>12000</v>
      </c>
      <c r="G1289" s="2836">
        <f t="shared" si="97"/>
        <v>0</v>
      </c>
      <c r="H1289" s="2734">
        <f t="shared" si="98"/>
        <v>0</v>
      </c>
    </row>
    <row r="1290" spans="1:8" s="1702" customFormat="1" ht="45" hidden="1" customHeight="1" thickBot="1">
      <c r="A1290" s="1891"/>
      <c r="B1290" s="4405"/>
      <c r="C1290" s="1865" t="s">
        <v>939</v>
      </c>
      <c r="D1290" s="2835" t="s">
        <v>938</v>
      </c>
      <c r="E1290" s="2834">
        <v>0</v>
      </c>
      <c r="F1290" s="2687">
        <v>12000</v>
      </c>
      <c r="G1290" s="2686">
        <v>0</v>
      </c>
      <c r="H1290" s="2777">
        <f t="shared" si="98"/>
        <v>0</v>
      </c>
    </row>
    <row r="1291" spans="1:8" ht="17.100000000000001" customHeight="1" thickBot="1">
      <c r="A1291" s="2833"/>
      <c r="B1291" s="1768" t="s">
        <v>1241</v>
      </c>
      <c r="C1291" s="1839"/>
      <c r="D1291" s="1838" t="s">
        <v>268</v>
      </c>
      <c r="E1291" s="1818">
        <f>SUM(E1292)</f>
        <v>7261371</v>
      </c>
      <c r="F1291" s="1818">
        <f>SUM(F1292)</f>
        <v>7372115</v>
      </c>
      <c r="G1291" s="1817">
        <f>SUM(G1292)</f>
        <v>7749234</v>
      </c>
      <c r="H1291" s="1763">
        <f t="shared" si="98"/>
        <v>1.0511547907215228</v>
      </c>
    </row>
    <row r="1292" spans="1:8" ht="17.100000000000001" customHeight="1">
      <c r="A1292" s="1756"/>
      <c r="B1292" s="1831"/>
      <c r="C1292" s="4296" t="s">
        <v>944</v>
      </c>
      <c r="D1292" s="4296"/>
      <c r="E1292" s="2538">
        <f>SUM(E1293,E1321)</f>
        <v>7261371</v>
      </c>
      <c r="F1292" s="2538">
        <f>SUM(F1293,F1321)</f>
        <v>7372115</v>
      </c>
      <c r="G1292" s="1761">
        <f>SUM(G1293,G1321)</f>
        <v>7749234</v>
      </c>
      <c r="H1292" s="2537">
        <f t="shared" si="98"/>
        <v>1.0511547907215228</v>
      </c>
    </row>
    <row r="1293" spans="1:8" ht="17.100000000000001" customHeight="1">
      <c r="A1293" s="1756"/>
      <c r="B1293" s="1831"/>
      <c r="C1293" s="4387" t="s">
        <v>967</v>
      </c>
      <c r="D1293" s="4387"/>
      <c r="E1293" s="2687">
        <f>SUM(E1294,E1304)</f>
        <v>7187521</v>
      </c>
      <c r="F1293" s="2687">
        <f>SUM(F1294,F1304)</f>
        <v>7222265</v>
      </c>
      <c r="G1293" s="2686">
        <f>SUM(G1294,G1304)</f>
        <v>7682216</v>
      </c>
      <c r="H1293" s="2734">
        <f t="shared" si="98"/>
        <v>1.0636851458649053</v>
      </c>
    </row>
    <row r="1294" spans="1:8" ht="17.100000000000001" customHeight="1">
      <c r="A1294" s="1756"/>
      <c r="B1294" s="1831"/>
      <c r="C1294" s="4374" t="s">
        <v>966</v>
      </c>
      <c r="D1294" s="4374"/>
      <c r="E1294" s="2694">
        <f>SUM(E1295:E1302)</f>
        <v>6743045</v>
      </c>
      <c r="F1294" s="2694">
        <f>SUM(F1295:F1302)</f>
        <v>6772869</v>
      </c>
      <c r="G1294" s="2715">
        <f>SUM(G1295:G1302)</f>
        <v>7154995</v>
      </c>
      <c r="H1294" s="2776">
        <f t="shared" si="98"/>
        <v>1.0564201079335802</v>
      </c>
    </row>
    <row r="1295" spans="1:8" ht="17.100000000000001" customHeight="1">
      <c r="A1295" s="1756"/>
      <c r="B1295" s="1831"/>
      <c r="C1295" s="2768" t="s">
        <v>1016</v>
      </c>
      <c r="D1295" s="2767" t="s">
        <v>1015</v>
      </c>
      <c r="E1295" s="2687">
        <v>636409</v>
      </c>
      <c r="F1295" s="2687">
        <v>636409</v>
      </c>
      <c r="G1295" s="2686">
        <v>746282</v>
      </c>
      <c r="H1295" s="2734">
        <f t="shared" si="98"/>
        <v>1.1726452642875886</v>
      </c>
    </row>
    <row r="1296" spans="1:8" ht="17.100000000000001" customHeight="1">
      <c r="A1296" s="1756"/>
      <c r="B1296" s="1831"/>
      <c r="C1296" s="2768" t="s">
        <v>1014</v>
      </c>
      <c r="D1296" s="2767" t="s">
        <v>1013</v>
      </c>
      <c r="E1296" s="2687">
        <v>42690</v>
      </c>
      <c r="F1296" s="2687">
        <v>37766</v>
      </c>
      <c r="G1296" s="2686">
        <v>49018</v>
      </c>
      <c r="H1296" s="2734">
        <f t="shared" si="98"/>
        <v>1.2979399459831595</v>
      </c>
    </row>
    <row r="1297" spans="1:8" ht="17.100000000000001" customHeight="1">
      <c r="A1297" s="1756"/>
      <c r="B1297" s="1831"/>
      <c r="C1297" s="2768" t="s">
        <v>965</v>
      </c>
      <c r="D1297" s="2767" t="s">
        <v>964</v>
      </c>
      <c r="E1297" s="2687">
        <v>1024938</v>
      </c>
      <c r="F1297" s="2687">
        <v>1022495</v>
      </c>
      <c r="G1297" s="2686">
        <v>1041588</v>
      </c>
      <c r="H1297" s="2734">
        <f t="shared" si="98"/>
        <v>1.0186729519459752</v>
      </c>
    </row>
    <row r="1298" spans="1:8" ht="17.100000000000001" customHeight="1">
      <c r="A1298" s="1756"/>
      <c r="B1298" s="1831"/>
      <c r="C1298" s="2768" t="s">
        <v>963</v>
      </c>
      <c r="D1298" s="2767" t="s">
        <v>962</v>
      </c>
      <c r="E1298" s="2687">
        <v>137683</v>
      </c>
      <c r="F1298" s="2687">
        <v>137683</v>
      </c>
      <c r="G1298" s="2686">
        <v>139398</v>
      </c>
      <c r="H1298" s="2734">
        <f t="shared" si="98"/>
        <v>1.0124561492704256</v>
      </c>
    </row>
    <row r="1299" spans="1:8" ht="17.100000000000001" customHeight="1">
      <c r="A1299" s="1756"/>
      <c r="B1299" s="1831"/>
      <c r="C1299" s="2768" t="s">
        <v>974</v>
      </c>
      <c r="D1299" s="2767" t="s">
        <v>1240</v>
      </c>
      <c r="E1299" s="2687">
        <v>10800</v>
      </c>
      <c r="F1299" s="2687">
        <v>11800</v>
      </c>
      <c r="G1299" s="2686">
        <v>12420</v>
      </c>
      <c r="H1299" s="2734">
        <f t="shared" si="98"/>
        <v>1.0525423728813559</v>
      </c>
    </row>
    <row r="1300" spans="1:8" ht="17.100000000000001" customHeight="1">
      <c r="A1300" s="1756"/>
      <c r="B1300" s="1831"/>
      <c r="C1300" s="2774" t="s">
        <v>1012</v>
      </c>
      <c r="D1300" s="2773" t="s">
        <v>1011</v>
      </c>
      <c r="E1300" s="2687">
        <v>17368</v>
      </c>
      <c r="F1300" s="2687">
        <v>17368</v>
      </c>
      <c r="G1300" s="2686">
        <v>17518</v>
      </c>
      <c r="H1300" s="2734">
        <f t="shared" si="98"/>
        <v>1.0086365730078304</v>
      </c>
    </row>
    <row r="1301" spans="1:8" ht="17.100000000000001" customHeight="1">
      <c r="A1301" s="1831"/>
      <c r="B1301" s="1831"/>
      <c r="C1301" s="2502" t="s">
        <v>1107</v>
      </c>
      <c r="D1301" s="2501" t="s">
        <v>1106</v>
      </c>
      <c r="E1301" s="2500">
        <v>4496176</v>
      </c>
      <c r="F1301" s="2500">
        <v>4530920</v>
      </c>
      <c r="G1301" s="1802">
        <v>4765551</v>
      </c>
      <c r="H1301" s="2503">
        <f t="shared" si="98"/>
        <v>1.0517844058160373</v>
      </c>
    </row>
    <row r="1302" spans="1:8" ht="17.100000000000001" customHeight="1">
      <c r="A1302" s="1756"/>
      <c r="B1302" s="1831"/>
      <c r="C1302" s="2768" t="s">
        <v>1105</v>
      </c>
      <c r="D1302" s="2767" t="s">
        <v>1104</v>
      </c>
      <c r="E1302" s="2687">
        <v>376981</v>
      </c>
      <c r="F1302" s="2687">
        <v>378428</v>
      </c>
      <c r="G1302" s="2686">
        <v>383220</v>
      </c>
      <c r="H1302" s="2734">
        <f t="shared" si="98"/>
        <v>1.0126629107782723</v>
      </c>
    </row>
    <row r="1303" spans="1:8" ht="17.100000000000001" customHeight="1">
      <c r="A1303" s="1756"/>
      <c r="B1303" s="1831"/>
      <c r="C1303" s="2808"/>
      <c r="D1303" s="2772"/>
      <c r="E1303" s="2808"/>
      <c r="F1303" s="2687"/>
      <c r="G1303" s="2686"/>
      <c r="H1303" s="2734"/>
    </row>
    <row r="1304" spans="1:8" ht="17.100000000000001" customHeight="1">
      <c r="A1304" s="1831"/>
      <c r="B1304" s="1831"/>
      <c r="C1304" s="4375" t="s">
        <v>961</v>
      </c>
      <c r="D1304" s="4375"/>
      <c r="E1304" s="2771">
        <f>SUM(E1306:E1319)</f>
        <v>444476</v>
      </c>
      <c r="F1304" s="2771">
        <f>SUM(F1306:F1319)</f>
        <v>449396</v>
      </c>
      <c r="G1304" s="1808">
        <f>SUM(G1306:G1319)</f>
        <v>527221</v>
      </c>
      <c r="H1304" s="2776">
        <f t="shared" ref="H1304:H1319" si="99">G1304/F1304</f>
        <v>1.1731768863096246</v>
      </c>
    </row>
    <row r="1305" spans="1:8" ht="17.100000000000001" hidden="1" customHeight="1">
      <c r="A1305" s="1756"/>
      <c r="B1305" s="1831"/>
      <c r="C1305" s="2768" t="s">
        <v>1048</v>
      </c>
      <c r="D1305" s="2767" t="s">
        <v>1047</v>
      </c>
      <c r="E1305" s="2694">
        <v>0</v>
      </c>
      <c r="F1305" s="2687"/>
      <c r="G1305" s="2686"/>
      <c r="H1305" s="2734" t="e">
        <f t="shared" si="99"/>
        <v>#DIV/0!</v>
      </c>
    </row>
    <row r="1306" spans="1:8" ht="17.100000000000001" customHeight="1">
      <c r="A1306" s="1756"/>
      <c r="B1306" s="1831"/>
      <c r="C1306" s="2768" t="s">
        <v>613</v>
      </c>
      <c r="D1306" s="2767" t="s">
        <v>960</v>
      </c>
      <c r="E1306" s="2694">
        <v>11309</v>
      </c>
      <c r="F1306" s="2687">
        <v>11309</v>
      </c>
      <c r="G1306" s="2686">
        <v>20005</v>
      </c>
      <c r="H1306" s="2734">
        <f t="shared" si="99"/>
        <v>1.7689450879830224</v>
      </c>
    </row>
    <row r="1307" spans="1:8" ht="17.100000000000001" customHeight="1">
      <c r="A1307" s="1756"/>
      <c r="B1307" s="1831"/>
      <c r="C1307" s="2768" t="s">
        <v>1006</v>
      </c>
      <c r="D1307" s="2767" t="s">
        <v>1005</v>
      </c>
      <c r="E1307" s="2694">
        <v>9283</v>
      </c>
      <c r="F1307" s="2687">
        <v>9283</v>
      </c>
      <c r="G1307" s="2686">
        <v>12878</v>
      </c>
      <c r="H1307" s="2734">
        <f t="shared" si="99"/>
        <v>1.3872670472907465</v>
      </c>
    </row>
    <row r="1308" spans="1:8" ht="17.100000000000001" customHeight="1" thickBot="1">
      <c r="A1308" s="1743"/>
      <c r="B1308" s="1847"/>
      <c r="C1308" s="3710" t="s">
        <v>1004</v>
      </c>
      <c r="D1308" s="3711" t="s">
        <v>1003</v>
      </c>
      <c r="E1308" s="3717">
        <v>26400</v>
      </c>
      <c r="F1308" s="3712">
        <v>26400</v>
      </c>
      <c r="G1308" s="1738">
        <v>44880</v>
      </c>
      <c r="H1308" s="2734">
        <f t="shared" si="99"/>
        <v>1.7</v>
      </c>
    </row>
    <row r="1309" spans="1:8" ht="17.100000000000001" customHeight="1" thickBot="1">
      <c r="A1309" s="1743"/>
      <c r="B1309" s="1847"/>
      <c r="C1309" s="2114" t="s">
        <v>1002</v>
      </c>
      <c r="D1309" s="3709" t="s">
        <v>1001</v>
      </c>
      <c r="E1309" s="3716">
        <v>3600</v>
      </c>
      <c r="F1309" s="1873">
        <v>3600</v>
      </c>
      <c r="G1309" s="1872">
        <v>4135</v>
      </c>
      <c r="H1309" s="2734">
        <f t="shared" si="99"/>
        <v>1.148611111111111</v>
      </c>
    </row>
    <row r="1310" spans="1:8" ht="17.100000000000001" customHeight="1">
      <c r="A1310" s="1886"/>
      <c r="B1310" s="1885"/>
      <c r="C1310" s="2832" t="s">
        <v>1000</v>
      </c>
      <c r="D1310" s="2831" t="s">
        <v>999</v>
      </c>
      <c r="E1310" s="1884">
        <v>4096</v>
      </c>
      <c r="F1310" s="2142">
        <v>5261</v>
      </c>
      <c r="G1310" s="2141">
        <v>4750</v>
      </c>
      <c r="H1310" s="2734">
        <f t="shared" si="99"/>
        <v>0.90287017677247672</v>
      </c>
    </row>
    <row r="1311" spans="1:8" ht="17.100000000000001" customHeight="1">
      <c r="A1311" s="1756"/>
      <c r="B1311" s="1831"/>
      <c r="C1311" s="2699" t="s">
        <v>959</v>
      </c>
      <c r="D1311" s="2688" t="s">
        <v>958</v>
      </c>
      <c r="E1311" s="2694">
        <v>34176</v>
      </c>
      <c r="F1311" s="2687">
        <v>39096</v>
      </c>
      <c r="G1311" s="2686">
        <v>50808</v>
      </c>
      <c r="H1311" s="2734">
        <f t="shared" si="99"/>
        <v>1.2995702885205647</v>
      </c>
    </row>
    <row r="1312" spans="1:8" ht="16.5" customHeight="1">
      <c r="A1312" s="1756"/>
      <c r="B1312" s="1831"/>
      <c r="C1312" s="2699" t="s">
        <v>998</v>
      </c>
      <c r="D1312" s="2688" t="s">
        <v>997</v>
      </c>
      <c r="E1312" s="2694">
        <v>7100</v>
      </c>
      <c r="F1312" s="2687">
        <v>6080</v>
      </c>
      <c r="G1312" s="2686">
        <v>6817</v>
      </c>
      <c r="H1312" s="2734">
        <f t="shared" si="99"/>
        <v>1.1212171052631579</v>
      </c>
    </row>
    <row r="1313" spans="1:8" ht="27.75" customHeight="1">
      <c r="A1313" s="1831"/>
      <c r="B1313" s="1831"/>
      <c r="C1313" s="2488" t="s">
        <v>994</v>
      </c>
      <c r="D1313" s="2504" t="s">
        <v>993</v>
      </c>
      <c r="E1313" s="2771">
        <v>104886</v>
      </c>
      <c r="F1313" s="2500">
        <v>102946</v>
      </c>
      <c r="G1313" s="1802">
        <v>130425</v>
      </c>
      <c r="H1313" s="2503">
        <f t="shared" si="99"/>
        <v>1.2669263497367551</v>
      </c>
    </row>
    <row r="1314" spans="1:8" ht="17.100000000000001" customHeight="1">
      <c r="A1314" s="1756"/>
      <c r="B1314" s="1831"/>
      <c r="C1314" s="2502" t="s">
        <v>992</v>
      </c>
      <c r="D1314" s="2501" t="s">
        <v>991</v>
      </c>
      <c r="E1314" s="2694">
        <v>3225</v>
      </c>
      <c r="F1314" s="2687">
        <v>2060</v>
      </c>
      <c r="G1314" s="2686">
        <v>3708</v>
      </c>
      <c r="H1314" s="2734">
        <f t="shared" si="99"/>
        <v>1.8</v>
      </c>
    </row>
    <row r="1315" spans="1:8" ht="17.100000000000001" customHeight="1">
      <c r="A1315" s="1756"/>
      <c r="B1315" s="1831"/>
      <c r="C1315" s="2502" t="s">
        <v>988</v>
      </c>
      <c r="D1315" s="2501"/>
      <c r="E1315" s="2694"/>
      <c r="F1315" s="2687">
        <v>1020</v>
      </c>
      <c r="G1315" s="2686">
        <v>1903</v>
      </c>
      <c r="H1315" s="2734">
        <f t="shared" si="99"/>
        <v>1.865686274509804</v>
      </c>
    </row>
    <row r="1316" spans="1:8" ht="17.100000000000001" customHeight="1">
      <c r="A1316" s="1756"/>
      <c r="B1316" s="1831"/>
      <c r="C1316" s="2768" t="s">
        <v>986</v>
      </c>
      <c r="D1316" s="2767" t="s">
        <v>985</v>
      </c>
      <c r="E1316" s="2694">
        <v>236989</v>
      </c>
      <c r="F1316" s="2687">
        <v>236989</v>
      </c>
      <c r="G1316" s="2686">
        <v>241412</v>
      </c>
      <c r="H1316" s="2734">
        <f t="shared" si="99"/>
        <v>1.0186633134871239</v>
      </c>
    </row>
    <row r="1317" spans="1:8" ht="17.100000000000001" hidden="1" customHeight="1">
      <c r="A1317" s="1756"/>
      <c r="B1317" s="1831"/>
      <c r="C1317" s="2768" t="s">
        <v>1239</v>
      </c>
      <c r="D1317" s="2767" t="s">
        <v>1238</v>
      </c>
      <c r="E1317" s="2694">
        <v>0</v>
      </c>
      <c r="F1317" s="2687"/>
      <c r="G1317" s="2686">
        <v>0</v>
      </c>
      <c r="H1317" s="2734" t="e">
        <f t="shared" si="99"/>
        <v>#DIV/0!</v>
      </c>
    </row>
    <row r="1318" spans="1:8" ht="17.100000000000001" customHeight="1">
      <c r="A1318" s="1756"/>
      <c r="B1318" s="1831"/>
      <c r="C1318" s="2768" t="s">
        <v>1122</v>
      </c>
      <c r="D1318" s="2767" t="s">
        <v>1118</v>
      </c>
      <c r="E1318" s="2694">
        <v>0</v>
      </c>
      <c r="F1318" s="2687">
        <v>1940</v>
      </c>
      <c r="G1318" s="2686">
        <v>5500</v>
      </c>
      <c r="H1318" s="2734">
        <f t="shared" si="99"/>
        <v>2.8350515463917527</v>
      </c>
    </row>
    <row r="1319" spans="1:8" ht="17.25" hidden="1" customHeight="1">
      <c r="A1319" s="1756"/>
      <c r="B1319" s="4191"/>
      <c r="C1319" s="2768" t="s">
        <v>982</v>
      </c>
      <c r="D1319" s="2767" t="s">
        <v>981</v>
      </c>
      <c r="E1319" s="2694">
        <v>3412</v>
      </c>
      <c r="F1319" s="2687">
        <v>3412</v>
      </c>
      <c r="G1319" s="2686">
        <v>0</v>
      </c>
      <c r="H1319" s="2734">
        <f t="shared" si="99"/>
        <v>0</v>
      </c>
    </row>
    <row r="1320" spans="1:8" ht="17.100000000000001" customHeight="1">
      <c r="A1320" s="1756"/>
      <c r="B1320" s="4191"/>
      <c r="C1320" s="2766"/>
      <c r="D1320" s="2766"/>
      <c r="E1320" s="2765"/>
      <c r="F1320" s="2687"/>
      <c r="G1320" s="2686"/>
      <c r="H1320" s="2734"/>
    </row>
    <row r="1321" spans="1:8" ht="16.5" customHeight="1">
      <c r="A1321" s="1756"/>
      <c r="B1321" s="4191"/>
      <c r="C1321" s="4382" t="s">
        <v>1199</v>
      </c>
      <c r="D1321" s="4382"/>
      <c r="E1321" s="2687">
        <f>SUM(E1322)</f>
        <v>73850</v>
      </c>
      <c r="F1321" s="2687">
        <f>SUM(F1322)</f>
        <v>149850</v>
      </c>
      <c r="G1321" s="2686">
        <f>SUM(G1322)</f>
        <v>67018</v>
      </c>
      <c r="H1321" s="2734">
        <f t="shared" ref="H1321:H1366" si="100">G1321/F1321</f>
        <v>0.44723390056723389</v>
      </c>
    </row>
    <row r="1322" spans="1:8" ht="16.5" customHeight="1" thickBot="1">
      <c r="A1322" s="1756"/>
      <c r="B1322" s="4191"/>
      <c r="C1322" s="2801" t="s">
        <v>980</v>
      </c>
      <c r="D1322" s="2802" t="s">
        <v>979</v>
      </c>
      <c r="E1322" s="2705">
        <v>73850</v>
      </c>
      <c r="F1322" s="2687">
        <v>149850</v>
      </c>
      <c r="G1322" s="2686">
        <v>67018</v>
      </c>
      <c r="H1322" s="2734">
        <f t="shared" si="100"/>
        <v>0.44723390056723389</v>
      </c>
    </row>
    <row r="1323" spans="1:8" ht="16.5" hidden="1" customHeight="1" thickBot="1">
      <c r="A1323" s="1836"/>
      <c r="B1323" s="1822"/>
      <c r="C1323" s="2760"/>
      <c r="D1323" s="2830"/>
      <c r="E1323" s="2682"/>
      <c r="F1323" s="2682"/>
      <c r="G1323" s="2681"/>
      <c r="H1323" s="2757" t="e">
        <f t="shared" si="100"/>
        <v>#DIV/0!</v>
      </c>
    </row>
    <row r="1324" spans="1:8" ht="16.5" hidden="1" customHeight="1" thickBot="1">
      <c r="A1324" s="1836"/>
      <c r="B1324" s="1822"/>
      <c r="C1324" s="4397" t="s">
        <v>941</v>
      </c>
      <c r="D1324" s="4398"/>
      <c r="E1324" s="2829">
        <v>0</v>
      </c>
      <c r="F1324" s="2682"/>
      <c r="G1324" s="2681"/>
      <c r="H1324" s="2757" t="e">
        <f t="shared" si="100"/>
        <v>#DIV/0!</v>
      </c>
    </row>
    <row r="1325" spans="1:8" ht="16.5" hidden="1" customHeight="1" thickBot="1">
      <c r="A1325" s="1836"/>
      <c r="B1325" s="1822"/>
      <c r="C1325" s="4399" t="s">
        <v>940</v>
      </c>
      <c r="D1325" s="4400"/>
      <c r="E1325" s="2758">
        <v>0</v>
      </c>
      <c r="F1325" s="2682"/>
      <c r="G1325" s="2681"/>
      <c r="H1325" s="2757" t="e">
        <f t="shared" si="100"/>
        <v>#DIV/0!</v>
      </c>
    </row>
    <row r="1326" spans="1:8" ht="16.5" hidden="1" customHeight="1" thickBot="1">
      <c r="A1326" s="1836"/>
      <c r="B1326" s="1822"/>
      <c r="C1326" s="2828" t="s">
        <v>553</v>
      </c>
      <c r="D1326" s="2827" t="s">
        <v>1072</v>
      </c>
      <c r="E1326" s="2826">
        <v>0</v>
      </c>
      <c r="F1326" s="2682"/>
      <c r="G1326" s="2681"/>
      <c r="H1326" s="2811" t="e">
        <f t="shared" si="100"/>
        <v>#DIV/0!</v>
      </c>
    </row>
    <row r="1327" spans="1:8" ht="16.5" hidden="1" customHeight="1" thickBot="1">
      <c r="A1327" s="1836"/>
      <c r="B1327" s="1768" t="s">
        <v>1237</v>
      </c>
      <c r="C1327" s="1839"/>
      <c r="D1327" s="1838" t="s">
        <v>1236</v>
      </c>
      <c r="E1327" s="1818">
        <f>SUM(E1331)</f>
        <v>0</v>
      </c>
      <c r="F1327" s="1818">
        <f>SUM(F1331)</f>
        <v>539940</v>
      </c>
      <c r="G1327" s="1817">
        <f>SUM(G1331)</f>
        <v>0</v>
      </c>
      <c r="H1327" s="1763">
        <f t="shared" si="100"/>
        <v>0</v>
      </c>
    </row>
    <row r="1328" spans="1:8" ht="16.5" hidden="1" customHeight="1" thickBot="1">
      <c r="A1328" s="1836"/>
      <c r="B1328" s="1831"/>
      <c r="C1328" s="4296" t="s">
        <v>944</v>
      </c>
      <c r="D1328" s="4296"/>
      <c r="E1328" s="1750">
        <v>0</v>
      </c>
      <c r="F1328" s="1750">
        <v>0</v>
      </c>
      <c r="G1328" s="1749">
        <v>0</v>
      </c>
      <c r="H1328" s="2537" t="e">
        <f t="shared" si="100"/>
        <v>#DIV/0!</v>
      </c>
    </row>
    <row r="1329" spans="1:8" ht="16.5" hidden="1" customHeight="1">
      <c r="A1329" s="1836"/>
      <c r="B1329" s="1831"/>
      <c r="C1329" s="4382" t="s">
        <v>943</v>
      </c>
      <c r="D1329" s="4382"/>
      <c r="E1329" s="2687">
        <v>0</v>
      </c>
      <c r="F1329" s="2687">
        <v>0</v>
      </c>
      <c r="G1329" s="2686">
        <v>0</v>
      </c>
      <c r="H1329" s="2780" t="e">
        <f t="shared" si="100"/>
        <v>#DIV/0!</v>
      </c>
    </row>
    <row r="1330" spans="1:8" ht="16.5" hidden="1" customHeight="1">
      <c r="A1330" s="1836"/>
      <c r="B1330" s="1831"/>
      <c r="C1330" s="2774" t="s">
        <v>91</v>
      </c>
      <c r="D1330" s="2773" t="s">
        <v>942</v>
      </c>
      <c r="E1330" s="2687">
        <v>0</v>
      </c>
      <c r="F1330" s="2687">
        <v>0</v>
      </c>
      <c r="G1330" s="2686">
        <v>0</v>
      </c>
      <c r="H1330" s="2780" t="e">
        <f t="shared" si="100"/>
        <v>#DIV/0!</v>
      </c>
    </row>
    <row r="1331" spans="1:8" ht="16.5" hidden="1" customHeight="1">
      <c r="A1331" s="1836"/>
      <c r="B1331" s="1831"/>
      <c r="C1331" s="4390" t="s">
        <v>941</v>
      </c>
      <c r="D1331" s="4391"/>
      <c r="E1331" s="2810">
        <f t="shared" ref="E1331:G1332" si="101">SUM(E1332)</f>
        <v>0</v>
      </c>
      <c r="F1331" s="2810">
        <f t="shared" si="101"/>
        <v>539940</v>
      </c>
      <c r="G1331" s="1761">
        <f t="shared" si="101"/>
        <v>0</v>
      </c>
      <c r="H1331" s="2780">
        <f t="shared" si="100"/>
        <v>0</v>
      </c>
    </row>
    <row r="1332" spans="1:8" ht="16.5" hidden="1" customHeight="1">
      <c r="A1332" s="1836"/>
      <c r="B1332" s="1831"/>
      <c r="C1332" s="4392" t="s">
        <v>940</v>
      </c>
      <c r="D1332" s="4393"/>
      <c r="E1332" s="2825">
        <f t="shared" si="101"/>
        <v>0</v>
      </c>
      <c r="F1332" s="2825">
        <f t="shared" si="101"/>
        <v>539940</v>
      </c>
      <c r="G1332" s="2824">
        <f t="shared" si="101"/>
        <v>0</v>
      </c>
      <c r="H1332" s="2734">
        <f t="shared" si="100"/>
        <v>0</v>
      </c>
    </row>
    <row r="1333" spans="1:8" ht="60" hidden="1" customHeight="1" thickBot="1">
      <c r="A1333" s="1836"/>
      <c r="B1333" s="1831"/>
      <c r="C1333" s="2796" t="s">
        <v>186</v>
      </c>
      <c r="D1333" s="2823" t="s">
        <v>1026</v>
      </c>
      <c r="E1333" s="2822">
        <v>0</v>
      </c>
      <c r="F1333" s="2687">
        <v>539940</v>
      </c>
      <c r="G1333" s="2686">
        <v>0</v>
      </c>
      <c r="H1333" s="2734">
        <f t="shared" si="100"/>
        <v>0</v>
      </c>
    </row>
    <row r="1334" spans="1:8" ht="13.5" hidden="1" thickBot="1">
      <c r="A1334" s="1836"/>
      <c r="B1334" s="1829" t="s">
        <v>1235</v>
      </c>
      <c r="C1334" s="1828"/>
      <c r="D1334" s="1827" t="s">
        <v>1234</v>
      </c>
      <c r="E1334" s="2181">
        <v>0</v>
      </c>
      <c r="F1334" s="2682"/>
      <c r="G1334" s="2681"/>
      <c r="H1334" s="2757" t="e">
        <f t="shared" si="100"/>
        <v>#DIV/0!</v>
      </c>
    </row>
    <row r="1335" spans="1:8" ht="13.5" hidden="1" thickBot="1">
      <c r="A1335" s="1836"/>
      <c r="B1335" s="4394"/>
      <c r="C1335" s="4278" t="s">
        <v>944</v>
      </c>
      <c r="D1335" s="4278"/>
      <c r="E1335" s="2821">
        <v>0</v>
      </c>
      <c r="F1335" s="2682"/>
      <c r="G1335" s="2681"/>
      <c r="H1335" s="2757" t="e">
        <f t="shared" si="100"/>
        <v>#DIV/0!</v>
      </c>
    </row>
    <row r="1336" spans="1:8" ht="13.5" hidden="1" thickBot="1">
      <c r="A1336" s="1836"/>
      <c r="B1336" s="4394"/>
      <c r="C1336" s="4388" t="s">
        <v>967</v>
      </c>
      <c r="D1336" s="4388"/>
      <c r="E1336" s="2682">
        <v>0</v>
      </c>
      <c r="F1336" s="2682"/>
      <c r="G1336" s="2681"/>
      <c r="H1336" s="2757" t="e">
        <f t="shared" si="100"/>
        <v>#DIV/0!</v>
      </c>
    </row>
    <row r="1337" spans="1:8" ht="13.5" hidden="1" thickBot="1">
      <c r="A1337" s="1836"/>
      <c r="B1337" s="4394"/>
      <c r="C1337" s="4395" t="s">
        <v>966</v>
      </c>
      <c r="D1337" s="4395"/>
      <c r="E1337" s="2721">
        <v>0</v>
      </c>
      <c r="F1337" s="2682"/>
      <c r="G1337" s="2681"/>
      <c r="H1337" s="2757" t="e">
        <f t="shared" si="100"/>
        <v>#DIV/0!</v>
      </c>
    </row>
    <row r="1338" spans="1:8" ht="13.5" hidden="1" thickBot="1">
      <c r="A1338" s="1836"/>
      <c r="B1338" s="4394"/>
      <c r="C1338" s="2814" t="s">
        <v>1016</v>
      </c>
      <c r="D1338" s="2813" t="s">
        <v>1015</v>
      </c>
      <c r="E1338" s="2682">
        <v>0</v>
      </c>
      <c r="F1338" s="2682"/>
      <c r="G1338" s="2681"/>
      <c r="H1338" s="2757" t="e">
        <f t="shared" si="100"/>
        <v>#DIV/0!</v>
      </c>
    </row>
    <row r="1339" spans="1:8" ht="13.5" hidden="1" thickBot="1">
      <c r="A1339" s="1836"/>
      <c r="B1339" s="4394"/>
      <c r="C1339" s="2814" t="s">
        <v>1014</v>
      </c>
      <c r="D1339" s="2813" t="s">
        <v>1013</v>
      </c>
      <c r="E1339" s="2682">
        <v>0</v>
      </c>
      <c r="F1339" s="2682"/>
      <c r="G1339" s="2681"/>
      <c r="H1339" s="2757" t="e">
        <f t="shared" si="100"/>
        <v>#DIV/0!</v>
      </c>
    </row>
    <row r="1340" spans="1:8" ht="13.5" hidden="1" thickBot="1">
      <c r="A1340" s="1836"/>
      <c r="B1340" s="4394"/>
      <c r="C1340" s="2814" t="s">
        <v>965</v>
      </c>
      <c r="D1340" s="2813" t="s">
        <v>964</v>
      </c>
      <c r="E1340" s="2682">
        <v>0</v>
      </c>
      <c r="F1340" s="2682"/>
      <c r="G1340" s="2681"/>
      <c r="H1340" s="2757" t="e">
        <f t="shared" si="100"/>
        <v>#DIV/0!</v>
      </c>
    </row>
    <row r="1341" spans="1:8" ht="1.5" hidden="1" customHeight="1" thickBot="1">
      <c r="A1341" s="1836"/>
      <c r="B1341" s="4394"/>
      <c r="C1341" s="2814" t="s">
        <v>963</v>
      </c>
      <c r="D1341" s="2813" t="s">
        <v>1062</v>
      </c>
      <c r="E1341" s="2682">
        <v>0</v>
      </c>
      <c r="F1341" s="2682"/>
      <c r="G1341" s="2681"/>
      <c r="H1341" s="2757" t="e">
        <f t="shared" si="100"/>
        <v>#DIV/0!</v>
      </c>
    </row>
    <row r="1342" spans="1:8" ht="13.5" hidden="1" thickBot="1">
      <c r="A1342" s="1836"/>
      <c r="B1342" s="4394"/>
      <c r="C1342" s="2163"/>
      <c r="D1342" s="2163"/>
      <c r="E1342" s="2162"/>
      <c r="F1342" s="2682"/>
      <c r="G1342" s="2681"/>
      <c r="H1342" s="2757" t="e">
        <f t="shared" si="100"/>
        <v>#DIV/0!</v>
      </c>
    </row>
    <row r="1343" spans="1:8" ht="0.75" hidden="1" customHeight="1" thickBot="1">
      <c r="A1343" s="1836"/>
      <c r="B1343" s="4394"/>
      <c r="C1343" s="4389" t="s">
        <v>961</v>
      </c>
      <c r="D1343" s="4389"/>
      <c r="E1343" s="2721">
        <v>0</v>
      </c>
      <c r="F1343" s="2682"/>
      <c r="G1343" s="2681"/>
      <c r="H1343" s="2757" t="e">
        <f t="shared" si="100"/>
        <v>#DIV/0!</v>
      </c>
    </row>
    <row r="1344" spans="1:8" ht="0.75" hidden="1" customHeight="1" thickBot="1">
      <c r="A1344" s="1836"/>
      <c r="B1344" s="4394"/>
      <c r="C1344" s="2814" t="s">
        <v>613</v>
      </c>
      <c r="D1344" s="2813" t="s">
        <v>960</v>
      </c>
      <c r="E1344" s="2682">
        <v>0</v>
      </c>
      <c r="F1344" s="2682"/>
      <c r="G1344" s="2681"/>
      <c r="H1344" s="2757" t="e">
        <f t="shared" si="100"/>
        <v>#DIV/0!</v>
      </c>
    </row>
    <row r="1345" spans="1:8" ht="13.5" hidden="1" thickBot="1">
      <c r="A1345" s="1836"/>
      <c r="B1345" s="4394"/>
      <c r="C1345" s="2814" t="s">
        <v>1006</v>
      </c>
      <c r="D1345" s="2813" t="s">
        <v>1005</v>
      </c>
      <c r="E1345" s="2682">
        <v>0</v>
      </c>
      <c r="F1345" s="2682"/>
      <c r="G1345" s="2681"/>
      <c r="H1345" s="2757" t="e">
        <f t="shared" si="100"/>
        <v>#DIV/0!</v>
      </c>
    </row>
    <row r="1346" spans="1:8" ht="0.75" hidden="1" customHeight="1" thickBot="1">
      <c r="A1346" s="1836"/>
      <c r="B1346" s="4394"/>
      <c r="C1346" s="2814" t="s">
        <v>1000</v>
      </c>
      <c r="D1346" s="2813" t="s">
        <v>999</v>
      </c>
      <c r="E1346" s="2682">
        <v>0</v>
      </c>
      <c r="F1346" s="2682"/>
      <c r="G1346" s="2681"/>
      <c r="H1346" s="2757" t="e">
        <f t="shared" si="100"/>
        <v>#DIV/0!</v>
      </c>
    </row>
    <row r="1347" spans="1:8" ht="13.5" hidden="1" thickBot="1">
      <c r="A1347" s="1836"/>
      <c r="B1347" s="4394"/>
      <c r="C1347" s="2814" t="s">
        <v>986</v>
      </c>
      <c r="D1347" s="2813" t="s">
        <v>985</v>
      </c>
      <c r="E1347" s="2682">
        <v>0</v>
      </c>
      <c r="F1347" s="2682"/>
      <c r="G1347" s="2681"/>
      <c r="H1347" s="2757" t="e">
        <f t="shared" si="100"/>
        <v>#DIV/0!</v>
      </c>
    </row>
    <row r="1348" spans="1:8" ht="13.5" hidden="1" thickBot="1">
      <c r="A1348" s="1836"/>
      <c r="B1348" s="4394"/>
      <c r="C1348" s="2819"/>
      <c r="D1348" s="2820"/>
      <c r="E1348" s="2819"/>
      <c r="F1348" s="2682"/>
      <c r="G1348" s="2681"/>
      <c r="H1348" s="2757" t="e">
        <f t="shared" si="100"/>
        <v>#DIV/0!</v>
      </c>
    </row>
    <row r="1349" spans="1:8" ht="0.75" hidden="1" customHeight="1" thickBot="1">
      <c r="A1349" s="1836"/>
      <c r="B1349" s="4394"/>
      <c r="C1349" s="4396" t="s">
        <v>1199</v>
      </c>
      <c r="D1349" s="4396"/>
      <c r="E1349" s="2818">
        <v>0</v>
      </c>
      <c r="F1349" s="2682"/>
      <c r="G1349" s="2681"/>
      <c r="H1349" s="2757" t="e">
        <f t="shared" si="100"/>
        <v>#DIV/0!</v>
      </c>
    </row>
    <row r="1350" spans="1:8" ht="13.5" hidden="1" thickBot="1">
      <c r="A1350" s="1836"/>
      <c r="B1350" s="4394"/>
      <c r="C1350" s="2817" t="s">
        <v>980</v>
      </c>
      <c r="D1350" s="2816" t="s">
        <v>979</v>
      </c>
      <c r="E1350" s="2812">
        <v>0</v>
      </c>
      <c r="F1350" s="2682"/>
      <c r="G1350" s="2681"/>
      <c r="H1350" s="2757" t="e">
        <f t="shared" si="100"/>
        <v>#DIV/0!</v>
      </c>
    </row>
    <row r="1351" spans="1:8" ht="13.5" hidden="1" thickBot="1">
      <c r="A1351" s="1836"/>
      <c r="B1351" s="1829" t="s">
        <v>1233</v>
      </c>
      <c r="C1351" s="1828"/>
      <c r="D1351" s="1827" t="s">
        <v>272</v>
      </c>
      <c r="E1351" s="2181">
        <v>0</v>
      </c>
      <c r="F1351" s="2682"/>
      <c r="G1351" s="2681"/>
      <c r="H1351" s="2757" t="e">
        <f t="shared" si="100"/>
        <v>#DIV/0!</v>
      </c>
    </row>
    <row r="1352" spans="1:8" ht="13.5" hidden="1" thickBot="1">
      <c r="A1352" s="1836"/>
      <c r="B1352" s="1822"/>
      <c r="C1352" s="4278" t="s">
        <v>944</v>
      </c>
      <c r="D1352" s="4278"/>
      <c r="E1352" s="2000">
        <v>0</v>
      </c>
      <c r="F1352" s="2682"/>
      <c r="G1352" s="2681"/>
      <c r="H1352" s="2757" t="e">
        <f t="shared" si="100"/>
        <v>#DIV/0!</v>
      </c>
    </row>
    <row r="1353" spans="1:8" ht="13.5" hidden="1" thickBot="1">
      <c r="A1353" s="1836"/>
      <c r="B1353" s="1822"/>
      <c r="C1353" s="4388" t="s">
        <v>967</v>
      </c>
      <c r="D1353" s="4388"/>
      <c r="E1353" s="2815">
        <v>0</v>
      </c>
      <c r="F1353" s="2682"/>
      <c r="G1353" s="2681"/>
      <c r="H1353" s="2757" t="e">
        <f t="shared" si="100"/>
        <v>#DIV/0!</v>
      </c>
    </row>
    <row r="1354" spans="1:8" ht="13.5" hidden="1" thickBot="1">
      <c r="A1354" s="1836"/>
      <c r="B1354" s="1822"/>
      <c r="C1354" s="4389" t="s">
        <v>961</v>
      </c>
      <c r="D1354" s="4389"/>
      <c r="E1354" s="2815">
        <v>0</v>
      </c>
      <c r="F1354" s="2682"/>
      <c r="G1354" s="2681"/>
      <c r="H1354" s="2757" t="e">
        <f t="shared" si="100"/>
        <v>#DIV/0!</v>
      </c>
    </row>
    <row r="1355" spans="1:8" ht="5.25" hidden="1" customHeight="1" thickBot="1">
      <c r="A1355" s="1836"/>
      <c r="B1355" s="1822"/>
      <c r="C1355" s="2814" t="s">
        <v>1006</v>
      </c>
      <c r="D1355" s="2813" t="s">
        <v>1005</v>
      </c>
      <c r="E1355" s="2812">
        <v>0</v>
      </c>
      <c r="F1355" s="2682"/>
      <c r="G1355" s="2681"/>
      <c r="H1355" s="2811" t="e">
        <f t="shared" si="100"/>
        <v>#DIV/0!</v>
      </c>
    </row>
    <row r="1356" spans="1:8" ht="17.100000000000001" customHeight="1" thickBot="1">
      <c r="A1356" s="1836"/>
      <c r="B1356" s="1768" t="s">
        <v>1232</v>
      </c>
      <c r="C1356" s="1839"/>
      <c r="D1356" s="1838" t="s">
        <v>1231</v>
      </c>
      <c r="E1356" s="1818">
        <f>SUM(E1357)</f>
        <v>1377404</v>
      </c>
      <c r="F1356" s="1818">
        <f>SUM(F1357)</f>
        <v>1377404</v>
      </c>
      <c r="G1356" s="1817">
        <f>SUM(G1357)</f>
        <v>1538787</v>
      </c>
      <c r="H1356" s="1763">
        <f t="shared" si="100"/>
        <v>1.1171646082050002</v>
      </c>
    </row>
    <row r="1357" spans="1:8" ht="17.100000000000001" customHeight="1">
      <c r="A1357" s="1836"/>
      <c r="B1357" s="2480"/>
      <c r="C1357" s="4296" t="s">
        <v>944</v>
      </c>
      <c r="D1357" s="4296"/>
      <c r="E1357" s="2810">
        <f>SUM(E1358,E1374)</f>
        <v>1377404</v>
      </c>
      <c r="F1357" s="2810">
        <f>SUM(F1358,F1374)</f>
        <v>1377404</v>
      </c>
      <c r="G1357" s="1761">
        <f>SUM(G1358,G1374)</f>
        <v>1538787</v>
      </c>
      <c r="H1357" s="2809">
        <f t="shared" si="100"/>
        <v>1.1171646082050002</v>
      </c>
    </row>
    <row r="1358" spans="1:8" ht="17.100000000000001" customHeight="1">
      <c r="A1358" s="1836"/>
      <c r="B1358" s="2480"/>
      <c r="C1358" s="4387" t="s">
        <v>967</v>
      </c>
      <c r="D1358" s="4387"/>
      <c r="E1358" s="2687">
        <f>SUM(E1359,E1368)</f>
        <v>1376870</v>
      </c>
      <c r="F1358" s="2687">
        <f>SUM(F1359,F1368)</f>
        <v>1376870</v>
      </c>
      <c r="G1358" s="2686">
        <f>SUM(G1359,G1368)</f>
        <v>1533450</v>
      </c>
      <c r="H1358" s="2734">
        <f t="shared" si="100"/>
        <v>1.1137217021214785</v>
      </c>
    </row>
    <row r="1359" spans="1:8" ht="17.100000000000001" customHeight="1">
      <c r="A1359" s="1836"/>
      <c r="B1359" s="2480"/>
      <c r="C1359" s="4374" t="s">
        <v>966</v>
      </c>
      <c r="D1359" s="4374"/>
      <c r="E1359" s="2694">
        <f>SUM(E1362:E1366)</f>
        <v>1321904</v>
      </c>
      <c r="F1359" s="2694">
        <f>SUM(F1362:F1366)</f>
        <v>1321904</v>
      </c>
      <c r="G1359" s="2715">
        <f>SUM(G1362:G1366)</f>
        <v>1477043</v>
      </c>
      <c r="H1359" s="2776">
        <f t="shared" si="100"/>
        <v>1.117360262167298</v>
      </c>
    </row>
    <row r="1360" spans="1:8" ht="17.100000000000001" hidden="1" customHeight="1">
      <c r="A1360" s="1836"/>
      <c r="B1360" s="2480"/>
      <c r="C1360" s="2768" t="s">
        <v>1016</v>
      </c>
      <c r="D1360" s="2767" t="s">
        <v>1015</v>
      </c>
      <c r="E1360" s="2687">
        <v>0</v>
      </c>
      <c r="F1360" s="2687"/>
      <c r="G1360" s="2686"/>
      <c r="H1360" s="2734" t="e">
        <f t="shared" si="100"/>
        <v>#DIV/0!</v>
      </c>
    </row>
    <row r="1361" spans="1:8" ht="17.100000000000001" hidden="1" customHeight="1">
      <c r="A1361" s="1836"/>
      <c r="B1361" s="2480"/>
      <c r="C1361" s="2768" t="s">
        <v>1014</v>
      </c>
      <c r="D1361" s="2767" t="s">
        <v>1013</v>
      </c>
      <c r="E1361" s="2687">
        <v>0</v>
      </c>
      <c r="F1361" s="2687"/>
      <c r="G1361" s="2686"/>
      <c r="H1361" s="2734" t="e">
        <f t="shared" si="100"/>
        <v>#DIV/0!</v>
      </c>
    </row>
    <row r="1362" spans="1:8" ht="16.5" customHeight="1">
      <c r="A1362" s="1836"/>
      <c r="B1362" s="2480"/>
      <c r="C1362" s="2768" t="s">
        <v>965</v>
      </c>
      <c r="D1362" s="2767" t="s">
        <v>964</v>
      </c>
      <c r="E1362" s="2687">
        <v>204393</v>
      </c>
      <c r="F1362" s="2687">
        <v>204393</v>
      </c>
      <c r="G1362" s="2686">
        <v>225661</v>
      </c>
      <c r="H1362" s="2734">
        <f t="shared" si="100"/>
        <v>1.1040544441345839</v>
      </c>
    </row>
    <row r="1363" spans="1:8" ht="16.5" customHeight="1">
      <c r="A1363" s="1836"/>
      <c r="B1363" s="2480"/>
      <c r="C1363" s="2768" t="s">
        <v>963</v>
      </c>
      <c r="D1363" s="2767" t="s">
        <v>962</v>
      </c>
      <c r="E1363" s="2687">
        <v>34183</v>
      </c>
      <c r="F1363" s="2687">
        <v>34183</v>
      </c>
      <c r="G1363" s="2686">
        <v>37802</v>
      </c>
      <c r="H1363" s="2734">
        <f t="shared" si="100"/>
        <v>1.1058713395547495</v>
      </c>
    </row>
    <row r="1364" spans="1:8" ht="16.5" customHeight="1">
      <c r="A1364" s="1836"/>
      <c r="B1364" s="2480"/>
      <c r="C1364" s="2768" t="s">
        <v>1012</v>
      </c>
      <c r="D1364" s="2767" t="s">
        <v>1011</v>
      </c>
      <c r="E1364" s="2687">
        <v>5550</v>
      </c>
      <c r="F1364" s="2687">
        <v>5550</v>
      </c>
      <c r="G1364" s="2686">
        <v>5550</v>
      </c>
      <c r="H1364" s="2734">
        <f t="shared" si="100"/>
        <v>1</v>
      </c>
    </row>
    <row r="1365" spans="1:8" ht="16.5" customHeight="1">
      <c r="A1365" s="1836"/>
      <c r="B1365" s="2480"/>
      <c r="C1365" s="2768" t="s">
        <v>1107</v>
      </c>
      <c r="D1365" s="2767" t="s">
        <v>1106</v>
      </c>
      <c r="E1365" s="2687">
        <v>1001194</v>
      </c>
      <c r="F1365" s="2687">
        <v>1001194</v>
      </c>
      <c r="G1365" s="2686">
        <v>1123596</v>
      </c>
      <c r="H1365" s="2734">
        <f t="shared" si="100"/>
        <v>1.1222560263045924</v>
      </c>
    </row>
    <row r="1366" spans="1:8" ht="16.5" customHeight="1">
      <c r="A1366" s="1836"/>
      <c r="B1366" s="2480"/>
      <c r="C1366" s="2768" t="s">
        <v>1105</v>
      </c>
      <c r="D1366" s="2767" t="s">
        <v>1104</v>
      </c>
      <c r="E1366" s="2687">
        <v>76584</v>
      </c>
      <c r="F1366" s="2687">
        <v>76584</v>
      </c>
      <c r="G1366" s="2686">
        <v>84434</v>
      </c>
      <c r="H1366" s="2734">
        <f t="shared" si="100"/>
        <v>1.1025018280580801</v>
      </c>
    </row>
    <row r="1367" spans="1:8" ht="17.100000000000001" customHeight="1">
      <c r="A1367" s="1836"/>
      <c r="B1367" s="2480"/>
      <c r="C1367" s="2808"/>
      <c r="D1367" s="2772"/>
      <c r="E1367" s="2808"/>
      <c r="F1367" s="2687"/>
      <c r="G1367" s="2686"/>
      <c r="H1367" s="2734"/>
    </row>
    <row r="1368" spans="1:8" ht="17.100000000000001" customHeight="1">
      <c r="A1368" s="1822"/>
      <c r="B1368" s="2480"/>
      <c r="C1368" s="4375" t="s">
        <v>961</v>
      </c>
      <c r="D1368" s="4375"/>
      <c r="E1368" s="2771">
        <f>SUM(E1369:E1372)</f>
        <v>54966</v>
      </c>
      <c r="F1368" s="2771">
        <f>SUM(F1369:F1372)</f>
        <v>54966</v>
      </c>
      <c r="G1368" s="1808">
        <f>SUM(G1369:G1372)</f>
        <v>56407</v>
      </c>
      <c r="H1368" s="2770">
        <f>G1368/F1368</f>
        <v>1.0262162063821272</v>
      </c>
    </row>
    <row r="1369" spans="1:8" ht="17.100000000000001" customHeight="1">
      <c r="A1369" s="1836"/>
      <c r="B1369" s="2480"/>
      <c r="C1369" s="2768" t="s">
        <v>613</v>
      </c>
      <c r="D1369" s="2767" t="s">
        <v>960</v>
      </c>
      <c r="E1369" s="2687">
        <v>4192</v>
      </c>
      <c r="F1369" s="2687">
        <v>4192</v>
      </c>
      <c r="G1369" s="2686">
        <v>4820</v>
      </c>
      <c r="H1369" s="2734">
        <f>G1369/F1369</f>
        <v>1.1498091603053435</v>
      </c>
    </row>
    <row r="1370" spans="1:8" ht="17.100000000000001" customHeight="1">
      <c r="A1370" s="1836"/>
      <c r="B1370" s="2480"/>
      <c r="C1370" s="2768" t="s">
        <v>1006</v>
      </c>
      <c r="D1370" s="2767" t="s">
        <v>1005</v>
      </c>
      <c r="E1370" s="2687">
        <v>4030</v>
      </c>
      <c r="F1370" s="2687">
        <v>4030</v>
      </c>
      <c r="G1370" s="2686">
        <v>4634</v>
      </c>
      <c r="H1370" s="2734">
        <f>G1370/F1370</f>
        <v>1.1498759305210917</v>
      </c>
    </row>
    <row r="1371" spans="1:8" ht="17.100000000000001" customHeight="1">
      <c r="A1371" s="1836"/>
      <c r="B1371" s="2480"/>
      <c r="C1371" s="2768" t="s">
        <v>1000</v>
      </c>
      <c r="D1371" s="2767" t="s">
        <v>999</v>
      </c>
      <c r="E1371" s="2687">
        <v>1396</v>
      </c>
      <c r="F1371" s="2687">
        <v>1396</v>
      </c>
      <c r="G1371" s="2686">
        <v>1605</v>
      </c>
      <c r="H1371" s="2734">
        <f>G1371/F1371</f>
        <v>1.1497134670487106</v>
      </c>
    </row>
    <row r="1372" spans="1:8" ht="17.100000000000001" customHeight="1" thickBot="1">
      <c r="A1372" s="1836"/>
      <c r="B1372" s="2480"/>
      <c r="C1372" s="2774" t="s">
        <v>986</v>
      </c>
      <c r="D1372" s="2773" t="s">
        <v>985</v>
      </c>
      <c r="E1372" s="2687">
        <v>45348</v>
      </c>
      <c r="F1372" s="2687">
        <v>45348</v>
      </c>
      <c r="G1372" s="2686">
        <v>45348</v>
      </c>
      <c r="H1372" s="2617">
        <f>G1372/F1372</f>
        <v>1</v>
      </c>
    </row>
    <row r="1373" spans="1:8" ht="17.100000000000001" customHeight="1">
      <c r="A1373" s="1822"/>
      <c r="B1373" s="2805"/>
      <c r="C1373" s="2706"/>
      <c r="D1373" s="2807"/>
      <c r="E1373" s="2806"/>
      <c r="F1373" s="2500"/>
      <c r="G1373" s="1802"/>
      <c r="H1373" s="2099"/>
    </row>
    <row r="1374" spans="1:8" ht="17.100000000000001" customHeight="1">
      <c r="A1374" s="1836"/>
      <c r="B1374" s="2805"/>
      <c r="C1374" s="4339" t="s">
        <v>1199</v>
      </c>
      <c r="D1374" s="4372"/>
      <c r="E1374" s="2500">
        <f>SUM(E1375)</f>
        <v>534</v>
      </c>
      <c r="F1374" s="2500">
        <f>SUM(F1375)</f>
        <v>534</v>
      </c>
      <c r="G1374" s="1802">
        <f>SUM(G1375)</f>
        <v>5337</v>
      </c>
      <c r="H1374" s="2734">
        <f t="shared" ref="H1374:H1387" si="102">G1374/F1374</f>
        <v>9.9943820224719104</v>
      </c>
    </row>
    <row r="1375" spans="1:8" ht="17.100000000000001" customHeight="1" thickBot="1">
      <c r="A1375" s="1822"/>
      <c r="B1375" s="2804"/>
      <c r="C1375" s="2796" t="s">
        <v>980</v>
      </c>
      <c r="D1375" s="2795" t="s">
        <v>979</v>
      </c>
      <c r="E1375" s="2636">
        <v>534</v>
      </c>
      <c r="F1375" s="2636">
        <v>534</v>
      </c>
      <c r="G1375" s="1738">
        <v>5337</v>
      </c>
      <c r="H1375" s="2617">
        <f t="shared" si="102"/>
        <v>9.9943820224719104</v>
      </c>
    </row>
    <row r="1376" spans="1:8" ht="17.100000000000001" customHeight="1" thickBot="1">
      <c r="A1376" s="1836"/>
      <c r="B1376" s="2112" t="s">
        <v>1230</v>
      </c>
      <c r="C1376" s="2111"/>
      <c r="D1376" s="2110" t="s">
        <v>275</v>
      </c>
      <c r="E1376" s="2109">
        <f>SUM(E1377)</f>
        <v>17894480</v>
      </c>
      <c r="F1376" s="2803">
        <f>SUM(F1377,F1434)</f>
        <v>18318988</v>
      </c>
      <c r="G1376" s="2108">
        <f>SUM(G1377,G1434)</f>
        <v>17743865</v>
      </c>
      <c r="H1376" s="2107">
        <f t="shared" si="102"/>
        <v>0.96860508888373087</v>
      </c>
    </row>
    <row r="1377" spans="1:8" ht="17.100000000000001" customHeight="1">
      <c r="A1377" s="1836"/>
      <c r="B1377" s="1831"/>
      <c r="C1377" s="4296" t="s">
        <v>944</v>
      </c>
      <c r="D1377" s="4296"/>
      <c r="E1377" s="2538">
        <f>SUM(E1378,E1412,E1416)</f>
        <v>17894480</v>
      </c>
      <c r="F1377" s="2538">
        <f>SUM(F1378,F1412,F1416)</f>
        <v>18318988</v>
      </c>
      <c r="G1377" s="1761">
        <f>SUM(G1378,G1412,G1416)</f>
        <v>17715565</v>
      </c>
      <c r="H1377" s="2537">
        <f t="shared" si="102"/>
        <v>0.96706024372088673</v>
      </c>
    </row>
    <row r="1378" spans="1:8" ht="17.100000000000001" customHeight="1">
      <c r="A1378" s="1836"/>
      <c r="B1378" s="1831"/>
      <c r="C1378" s="4387" t="s">
        <v>967</v>
      </c>
      <c r="D1378" s="4387"/>
      <c r="E1378" s="2687">
        <f>SUM(E1379,E1389)</f>
        <v>17848900</v>
      </c>
      <c r="F1378" s="2687">
        <f>SUM(F1379,F1389)</f>
        <v>17998900</v>
      </c>
      <c r="G1378" s="2686">
        <f>SUM(G1379,G1389)</f>
        <v>17668735</v>
      </c>
      <c r="H1378" s="2734">
        <f t="shared" si="102"/>
        <v>0.98165637900093894</v>
      </c>
    </row>
    <row r="1379" spans="1:8" ht="17.100000000000001" customHeight="1">
      <c r="A1379" s="1836"/>
      <c r="B1379" s="1831"/>
      <c r="C1379" s="4374" t="s">
        <v>966</v>
      </c>
      <c r="D1379" s="4374"/>
      <c r="E1379" s="2694">
        <f>SUM(E1380:E1387)</f>
        <v>14424114</v>
      </c>
      <c r="F1379" s="2694">
        <f>SUM(F1380:F1387)</f>
        <v>14503214</v>
      </c>
      <c r="G1379" s="2715">
        <f>SUM(G1380:G1387)</f>
        <v>15125838</v>
      </c>
      <c r="H1379" s="2776">
        <f t="shared" si="102"/>
        <v>1.0429300705347104</v>
      </c>
    </row>
    <row r="1380" spans="1:8" ht="17.100000000000001" customHeight="1">
      <c r="A1380" s="1836"/>
      <c r="B1380" s="1831"/>
      <c r="C1380" s="2768" t="s">
        <v>1016</v>
      </c>
      <c r="D1380" s="2767" t="s">
        <v>1015</v>
      </c>
      <c r="E1380" s="2687">
        <v>2810850</v>
      </c>
      <c r="F1380" s="2687">
        <v>2847558</v>
      </c>
      <c r="G1380" s="2686">
        <v>3445280</v>
      </c>
      <c r="H1380" s="2734">
        <f t="shared" si="102"/>
        <v>1.2099068745921944</v>
      </c>
    </row>
    <row r="1381" spans="1:8" ht="17.100000000000001" customHeight="1">
      <c r="A1381" s="1836"/>
      <c r="B1381" s="1831"/>
      <c r="C1381" s="2768" t="s">
        <v>1014</v>
      </c>
      <c r="D1381" s="2767" t="s">
        <v>1013</v>
      </c>
      <c r="E1381" s="2687">
        <v>190582</v>
      </c>
      <c r="F1381" s="2687">
        <v>198959</v>
      </c>
      <c r="G1381" s="2686">
        <v>224262</v>
      </c>
      <c r="H1381" s="2734">
        <f t="shared" si="102"/>
        <v>1.127176956056273</v>
      </c>
    </row>
    <row r="1382" spans="1:8" ht="17.100000000000001" customHeight="1">
      <c r="A1382" s="1836"/>
      <c r="B1382" s="1831"/>
      <c r="C1382" s="2768" t="s">
        <v>965</v>
      </c>
      <c r="D1382" s="2767" t="s">
        <v>964</v>
      </c>
      <c r="E1382" s="2687">
        <v>1991630</v>
      </c>
      <c r="F1382" s="2687">
        <v>1991630</v>
      </c>
      <c r="G1382" s="2686">
        <v>2111100</v>
      </c>
      <c r="H1382" s="2734">
        <f t="shared" si="102"/>
        <v>1.0599860415840292</v>
      </c>
    </row>
    <row r="1383" spans="1:8" ht="16.5" customHeight="1">
      <c r="A1383" s="1836"/>
      <c r="B1383" s="1831"/>
      <c r="C1383" s="2768" t="s">
        <v>963</v>
      </c>
      <c r="D1383" s="2767" t="s">
        <v>962</v>
      </c>
      <c r="E1383" s="2687">
        <v>255298</v>
      </c>
      <c r="F1383" s="2687">
        <v>253056</v>
      </c>
      <c r="G1383" s="2686">
        <v>281443</v>
      </c>
      <c r="H1383" s="2734">
        <f t="shared" si="102"/>
        <v>1.1121767513909964</v>
      </c>
    </row>
    <row r="1384" spans="1:8" ht="17.100000000000001" customHeight="1">
      <c r="A1384" s="1836"/>
      <c r="B1384" s="1831"/>
      <c r="C1384" s="2801" t="s">
        <v>974</v>
      </c>
      <c r="D1384" s="2802" t="s">
        <v>973</v>
      </c>
      <c r="E1384" s="2687">
        <v>34960</v>
      </c>
      <c r="F1384" s="2687">
        <v>34960</v>
      </c>
      <c r="G1384" s="2686">
        <v>39500</v>
      </c>
      <c r="H1384" s="2734">
        <f t="shared" si="102"/>
        <v>1.1298627002288331</v>
      </c>
    </row>
    <row r="1385" spans="1:8" ht="17.100000000000001" customHeight="1">
      <c r="A1385" s="1836"/>
      <c r="B1385" s="1831"/>
      <c r="C1385" s="2801" t="s">
        <v>1012</v>
      </c>
      <c r="D1385" s="2767" t="s">
        <v>1011</v>
      </c>
      <c r="E1385" s="2687">
        <v>17518</v>
      </c>
      <c r="F1385" s="2687">
        <v>17518</v>
      </c>
      <c r="G1385" s="2686">
        <v>16573</v>
      </c>
      <c r="H1385" s="2734">
        <f t="shared" si="102"/>
        <v>0.94605548578604859</v>
      </c>
    </row>
    <row r="1386" spans="1:8" ht="17.100000000000001" customHeight="1">
      <c r="A1386" s="1836"/>
      <c r="B1386" s="1831"/>
      <c r="C1386" s="2768" t="s">
        <v>1107</v>
      </c>
      <c r="D1386" s="2767" t="s">
        <v>1106</v>
      </c>
      <c r="E1386" s="2800">
        <v>8462648</v>
      </c>
      <c r="F1386" s="2687">
        <v>8505040</v>
      </c>
      <c r="G1386" s="2686">
        <v>8382587</v>
      </c>
      <c r="H1386" s="2734">
        <f t="shared" si="102"/>
        <v>0.98560230169405438</v>
      </c>
    </row>
    <row r="1387" spans="1:8" ht="17.100000000000001" customHeight="1">
      <c r="A1387" s="1836"/>
      <c r="B1387" s="1831"/>
      <c r="C1387" s="2768" t="s">
        <v>1105</v>
      </c>
      <c r="D1387" s="2767" t="s">
        <v>1104</v>
      </c>
      <c r="E1387" s="2800">
        <v>660628</v>
      </c>
      <c r="F1387" s="2687">
        <v>654493</v>
      </c>
      <c r="G1387" s="2686">
        <v>625093</v>
      </c>
      <c r="H1387" s="2734">
        <f t="shared" si="102"/>
        <v>0.95507973347308528</v>
      </c>
    </row>
    <row r="1388" spans="1:8" ht="14.25" customHeight="1">
      <c r="A1388" s="1822"/>
      <c r="B1388" s="1831"/>
      <c r="C1388" s="2798"/>
      <c r="D1388" s="2799"/>
      <c r="E1388" s="2798"/>
      <c r="F1388" s="2687"/>
      <c r="G1388" s="2686"/>
      <c r="H1388" s="2734"/>
    </row>
    <row r="1389" spans="1:8" ht="17.100000000000001" customHeight="1">
      <c r="A1389" s="1836"/>
      <c r="B1389" s="1831"/>
      <c r="C1389" s="4375" t="s">
        <v>961</v>
      </c>
      <c r="D1389" s="4375"/>
      <c r="E1389" s="2797">
        <f>SUM(E1390:E1407)</f>
        <v>3424786</v>
      </c>
      <c r="F1389" s="2797">
        <f>SUM(F1390:F1407)</f>
        <v>3495686</v>
      </c>
      <c r="G1389" s="1808">
        <f>SUM(G1390:G1407)</f>
        <v>2542897</v>
      </c>
      <c r="H1389" s="2776">
        <f t="shared" ref="H1389:H1407" si="103">G1389/F1389</f>
        <v>0.7274386200591243</v>
      </c>
    </row>
    <row r="1390" spans="1:8" ht="17.100000000000001" customHeight="1">
      <c r="A1390" s="1836"/>
      <c r="B1390" s="1831"/>
      <c r="C1390" s="2768" t="s">
        <v>1048</v>
      </c>
      <c r="D1390" s="2767" t="s">
        <v>1047</v>
      </c>
      <c r="E1390" s="2687">
        <v>18100</v>
      </c>
      <c r="F1390" s="2687">
        <v>18100</v>
      </c>
      <c r="G1390" s="2686">
        <v>19600</v>
      </c>
      <c r="H1390" s="2734">
        <f t="shared" si="103"/>
        <v>1.0828729281767955</v>
      </c>
    </row>
    <row r="1391" spans="1:8" ht="17.100000000000001" customHeight="1">
      <c r="A1391" s="1836"/>
      <c r="B1391" s="1831"/>
      <c r="C1391" s="2768" t="s">
        <v>613</v>
      </c>
      <c r="D1391" s="2767" t="s">
        <v>960</v>
      </c>
      <c r="E1391" s="2687">
        <v>137773</v>
      </c>
      <c r="F1391" s="2687">
        <v>137773</v>
      </c>
      <c r="G1391" s="2686">
        <v>169949</v>
      </c>
      <c r="H1391" s="2734">
        <f t="shared" si="103"/>
        <v>1.2335435825597179</v>
      </c>
    </row>
    <row r="1392" spans="1:8" ht="17.100000000000001" customHeight="1">
      <c r="A1392" s="1836"/>
      <c r="B1392" s="1831"/>
      <c r="C1392" s="2768" t="s">
        <v>1006</v>
      </c>
      <c r="D1392" s="2767" t="s">
        <v>1005</v>
      </c>
      <c r="E1392" s="2687">
        <v>609344</v>
      </c>
      <c r="F1392" s="2687">
        <v>609344</v>
      </c>
      <c r="G1392" s="2686">
        <v>233604</v>
      </c>
      <c r="H1392" s="2734">
        <f t="shared" si="103"/>
        <v>0.38336965654868188</v>
      </c>
    </row>
    <row r="1393" spans="1:8" ht="17.100000000000001" customHeight="1">
      <c r="A1393" s="1836"/>
      <c r="B1393" s="1831"/>
      <c r="C1393" s="2768" t="s">
        <v>1004</v>
      </c>
      <c r="D1393" s="2767" t="s">
        <v>1003</v>
      </c>
      <c r="E1393" s="2687">
        <v>521637</v>
      </c>
      <c r="F1393" s="2687">
        <v>591637</v>
      </c>
      <c r="G1393" s="2686">
        <v>786790</v>
      </c>
      <c r="H1393" s="2734">
        <f t="shared" si="103"/>
        <v>1.3298525954259115</v>
      </c>
    </row>
    <row r="1394" spans="1:8" ht="17.100000000000001" customHeight="1">
      <c r="A1394" s="1836"/>
      <c r="B1394" s="1831"/>
      <c r="C1394" s="2768" t="s">
        <v>1002</v>
      </c>
      <c r="D1394" s="2767" t="s">
        <v>1001</v>
      </c>
      <c r="E1394" s="2687">
        <v>947815</v>
      </c>
      <c r="F1394" s="2687">
        <v>947815</v>
      </c>
      <c r="G1394" s="2686">
        <v>226200</v>
      </c>
      <c r="H1394" s="2734">
        <f t="shared" si="103"/>
        <v>0.23865416774370526</v>
      </c>
    </row>
    <row r="1395" spans="1:8" ht="17.100000000000001" customHeight="1">
      <c r="A1395" s="1836"/>
      <c r="B1395" s="1831"/>
      <c r="C1395" s="2768" t="s">
        <v>1000</v>
      </c>
      <c r="D1395" s="2767" t="s">
        <v>999</v>
      </c>
      <c r="E1395" s="2687">
        <v>13388</v>
      </c>
      <c r="F1395" s="2687">
        <v>13388</v>
      </c>
      <c r="G1395" s="2686">
        <v>14550</v>
      </c>
      <c r="H1395" s="2734">
        <f t="shared" si="103"/>
        <v>1.0867941440095608</v>
      </c>
    </row>
    <row r="1396" spans="1:8" ht="17.100000000000001" customHeight="1" thickBot="1">
      <c r="A1396" s="2195"/>
      <c r="B1396" s="1847"/>
      <c r="C1396" s="2796" t="s">
        <v>959</v>
      </c>
      <c r="D1396" s="2795" t="s">
        <v>958</v>
      </c>
      <c r="E1396" s="2636">
        <v>431982</v>
      </c>
      <c r="F1396" s="2636">
        <v>431982</v>
      </c>
      <c r="G1396" s="1738">
        <v>496491</v>
      </c>
      <c r="H1396" s="2734">
        <f t="shared" si="103"/>
        <v>1.1493326110810174</v>
      </c>
    </row>
    <row r="1397" spans="1:8" ht="27.75" customHeight="1">
      <c r="A1397" s="2677"/>
      <c r="B1397" s="1885"/>
      <c r="C1397" s="2794" t="s">
        <v>1035</v>
      </c>
      <c r="D1397" s="2793" t="s">
        <v>1034</v>
      </c>
      <c r="E1397" s="2142">
        <v>194000</v>
      </c>
      <c r="F1397" s="2142">
        <v>194000</v>
      </c>
      <c r="G1397" s="2141">
        <v>13530</v>
      </c>
      <c r="H1397" s="2734">
        <f t="shared" si="103"/>
        <v>6.9742268041237107E-2</v>
      </c>
    </row>
    <row r="1398" spans="1:8" ht="16.5" customHeight="1">
      <c r="A1398" s="1836"/>
      <c r="B1398" s="1831"/>
      <c r="C1398" s="2768" t="s">
        <v>998</v>
      </c>
      <c r="D1398" s="2767" t="s">
        <v>997</v>
      </c>
      <c r="E1398" s="2687">
        <v>21570</v>
      </c>
      <c r="F1398" s="2687">
        <v>21570</v>
      </c>
      <c r="G1398" s="2686">
        <v>23250</v>
      </c>
      <c r="H1398" s="2734">
        <f t="shared" si="103"/>
        <v>1.0778859527121001</v>
      </c>
    </row>
    <row r="1399" spans="1:8" ht="16.5" customHeight="1">
      <c r="A1399" s="1836"/>
      <c r="B1399" s="1831"/>
      <c r="C1399" s="2768" t="s">
        <v>996</v>
      </c>
      <c r="D1399" s="2767" t="s">
        <v>995</v>
      </c>
      <c r="E1399" s="2687">
        <v>1080</v>
      </c>
      <c r="F1399" s="2687">
        <v>1080</v>
      </c>
      <c r="G1399" s="2686">
        <v>1080</v>
      </c>
      <c r="H1399" s="2734">
        <f t="shared" si="103"/>
        <v>1</v>
      </c>
    </row>
    <row r="1400" spans="1:8" ht="27.75" customHeight="1">
      <c r="A1400" s="1836"/>
      <c r="B1400" s="1831"/>
      <c r="C1400" s="2768" t="s">
        <v>994</v>
      </c>
      <c r="D1400" s="2767" t="s">
        <v>993</v>
      </c>
      <c r="E1400" s="2687">
        <v>2400</v>
      </c>
      <c r="F1400" s="2687">
        <v>2400</v>
      </c>
      <c r="G1400" s="2686">
        <v>2400</v>
      </c>
      <c r="H1400" s="2734">
        <f t="shared" si="103"/>
        <v>1</v>
      </c>
    </row>
    <row r="1401" spans="1:8" ht="17.100000000000001" customHeight="1">
      <c r="A1401" s="1822"/>
      <c r="B1401" s="1831"/>
      <c r="C1401" s="2774" t="s">
        <v>992</v>
      </c>
      <c r="D1401" s="2773" t="s">
        <v>991</v>
      </c>
      <c r="E1401" s="2687">
        <v>15040</v>
      </c>
      <c r="F1401" s="2687">
        <v>15040</v>
      </c>
      <c r="G1401" s="2686">
        <v>16360</v>
      </c>
      <c r="H1401" s="2734">
        <f t="shared" si="103"/>
        <v>1.0877659574468086</v>
      </c>
    </row>
    <row r="1402" spans="1:8" ht="17.100000000000001" customHeight="1">
      <c r="A1402" s="1836"/>
      <c r="B1402" s="1831"/>
      <c r="C1402" s="2502" t="s">
        <v>988</v>
      </c>
      <c r="D1402" s="2501" t="s">
        <v>987</v>
      </c>
      <c r="E1402" s="2500">
        <v>22200</v>
      </c>
      <c r="F1402" s="2500">
        <v>22200</v>
      </c>
      <c r="G1402" s="1802">
        <v>25650</v>
      </c>
      <c r="H1402" s="2503">
        <f t="shared" si="103"/>
        <v>1.1554054054054055</v>
      </c>
    </row>
    <row r="1403" spans="1:8" ht="17.100000000000001" customHeight="1">
      <c r="A1403" s="1836"/>
      <c r="B1403" s="1831"/>
      <c r="C1403" s="2768" t="s">
        <v>986</v>
      </c>
      <c r="D1403" s="2767" t="s">
        <v>985</v>
      </c>
      <c r="E1403" s="2687">
        <v>465497</v>
      </c>
      <c r="F1403" s="2687">
        <v>465497</v>
      </c>
      <c r="G1403" s="2686">
        <v>486849</v>
      </c>
      <c r="H1403" s="2734">
        <f t="shared" si="103"/>
        <v>1.0458692537223655</v>
      </c>
    </row>
    <row r="1404" spans="1:8" ht="17.100000000000001" hidden="1" customHeight="1">
      <c r="A1404" s="1836"/>
      <c r="B1404" s="1831"/>
      <c r="C1404" s="2768" t="s">
        <v>1229</v>
      </c>
      <c r="D1404" s="2767" t="s">
        <v>1228</v>
      </c>
      <c r="E1404" s="2687">
        <v>0</v>
      </c>
      <c r="F1404" s="2687"/>
      <c r="G1404" s="2686"/>
      <c r="H1404" s="2734" t="e">
        <f t="shared" si="103"/>
        <v>#DIV/0!</v>
      </c>
    </row>
    <row r="1405" spans="1:8" ht="17.100000000000001" customHeight="1">
      <c r="A1405" s="1836"/>
      <c r="B1405" s="1831"/>
      <c r="C1405" s="2768" t="s">
        <v>1089</v>
      </c>
      <c r="D1405" s="2767" t="s">
        <v>1227</v>
      </c>
      <c r="E1405" s="2687">
        <v>13560</v>
      </c>
      <c r="F1405" s="2687">
        <v>13560</v>
      </c>
      <c r="G1405" s="2686">
        <v>15544</v>
      </c>
      <c r="H1405" s="2734">
        <f t="shared" si="103"/>
        <v>1.1463126843657818</v>
      </c>
    </row>
    <row r="1406" spans="1:8" ht="17.100000000000001" hidden="1" customHeight="1">
      <c r="A1406" s="1836"/>
      <c r="B1406" s="1831"/>
      <c r="C1406" s="2768" t="s">
        <v>1122</v>
      </c>
      <c r="D1406" s="2767" t="s">
        <v>1118</v>
      </c>
      <c r="E1406" s="2687">
        <v>0</v>
      </c>
      <c r="F1406" s="2687"/>
      <c r="G1406" s="2686"/>
      <c r="H1406" s="2734" t="e">
        <f t="shared" si="103"/>
        <v>#DIV/0!</v>
      </c>
    </row>
    <row r="1407" spans="1:8" ht="18.75" customHeight="1">
      <c r="A1407" s="1836"/>
      <c r="B1407" s="1831"/>
      <c r="C1407" s="2774" t="s">
        <v>982</v>
      </c>
      <c r="D1407" s="2773" t="s">
        <v>981</v>
      </c>
      <c r="E1407" s="2687">
        <v>9400</v>
      </c>
      <c r="F1407" s="2687">
        <v>10300</v>
      </c>
      <c r="G1407" s="2686">
        <v>11050</v>
      </c>
      <c r="H1407" s="2734">
        <f t="shared" si="103"/>
        <v>1.0728155339805825</v>
      </c>
    </row>
    <row r="1408" spans="1:8" ht="17.100000000000001" customHeight="1">
      <c r="A1408" s="1822"/>
      <c r="B1408" s="1822"/>
      <c r="C1408" s="2163"/>
      <c r="D1408" s="2163"/>
      <c r="E1408" s="2162"/>
      <c r="F1408" s="2526"/>
      <c r="G1408" s="1903"/>
      <c r="H1408" s="2545"/>
    </row>
    <row r="1409" spans="1:8" ht="17.100000000000001" hidden="1" customHeight="1">
      <c r="A1409" s="1836"/>
      <c r="B1409" s="1822"/>
      <c r="C1409" s="4381" t="s">
        <v>943</v>
      </c>
      <c r="D1409" s="4381"/>
      <c r="E1409" s="2682">
        <v>0</v>
      </c>
      <c r="F1409" s="2682"/>
      <c r="G1409" s="2681"/>
      <c r="H1409" s="2757" t="e">
        <f t="shared" ref="H1409:H1414" si="104">G1409/F1409</f>
        <v>#DIV/0!</v>
      </c>
    </row>
    <row r="1410" spans="1:8" ht="25.5" hidden="1" customHeight="1">
      <c r="A1410" s="1836"/>
      <c r="B1410" s="1822"/>
      <c r="C1410" s="2792" t="s">
        <v>91</v>
      </c>
      <c r="D1410" s="2791" t="s">
        <v>942</v>
      </c>
      <c r="E1410" s="2682">
        <v>0</v>
      </c>
      <c r="F1410" s="2682"/>
      <c r="G1410" s="2681"/>
      <c r="H1410" s="2757" t="e">
        <f t="shared" si="104"/>
        <v>#DIV/0!</v>
      </c>
    </row>
    <row r="1411" spans="1:8" hidden="1">
      <c r="A1411" s="1836"/>
      <c r="B1411" s="1822"/>
      <c r="C1411" s="2163"/>
      <c r="D1411" s="2163"/>
      <c r="E1411" s="2162"/>
      <c r="F1411" s="2682"/>
      <c r="G1411" s="2681"/>
      <c r="H1411" s="2757" t="e">
        <f t="shared" si="104"/>
        <v>#DIV/0!</v>
      </c>
    </row>
    <row r="1412" spans="1:8" ht="16.5" customHeight="1">
      <c r="A1412" s="1836"/>
      <c r="B1412" s="1822"/>
      <c r="C1412" s="4382" t="s">
        <v>1199</v>
      </c>
      <c r="D1412" s="4382"/>
      <c r="E1412" s="2687">
        <f>SUM(E1413:E1414)</f>
        <v>45580</v>
      </c>
      <c r="F1412" s="2687">
        <f>SUM(F1413:F1414)</f>
        <v>279118</v>
      </c>
      <c r="G1412" s="2686">
        <f>SUM(G1413:G1414)</f>
        <v>46830</v>
      </c>
      <c r="H1412" s="2734">
        <f t="shared" si="104"/>
        <v>0.16777850228218891</v>
      </c>
    </row>
    <row r="1413" spans="1:8" ht="16.5" customHeight="1">
      <c r="A1413" s="1836"/>
      <c r="B1413" s="1822"/>
      <c r="C1413" s="2774" t="s">
        <v>980</v>
      </c>
      <c r="D1413" s="2773" t="s">
        <v>979</v>
      </c>
      <c r="E1413" s="2687">
        <v>45580</v>
      </c>
      <c r="F1413" s="2687">
        <v>95368</v>
      </c>
      <c r="G1413" s="2686">
        <v>46830</v>
      </c>
      <c r="H1413" s="2734">
        <f t="shared" si="104"/>
        <v>0.49104521432765708</v>
      </c>
    </row>
    <row r="1414" spans="1:8" ht="16.5" hidden="1" customHeight="1">
      <c r="A1414" s="1836"/>
      <c r="B1414" s="1822"/>
      <c r="C1414" s="2696" t="s">
        <v>1208</v>
      </c>
      <c r="D1414" s="2790" t="s">
        <v>1110</v>
      </c>
      <c r="E1414" s="2687">
        <v>0</v>
      </c>
      <c r="F1414" s="2687">
        <v>183750</v>
      </c>
      <c r="G1414" s="2686">
        <v>0</v>
      </c>
      <c r="H1414" s="2734">
        <f t="shared" si="104"/>
        <v>0</v>
      </c>
    </row>
    <row r="1415" spans="1:8" ht="16.5" hidden="1" customHeight="1">
      <c r="A1415" s="1836"/>
      <c r="B1415" s="1822"/>
      <c r="C1415" s="2730"/>
      <c r="D1415" s="2789"/>
      <c r="E1415" s="2730"/>
      <c r="F1415" s="2687"/>
      <c r="G1415" s="2686"/>
      <c r="H1415" s="2734"/>
    </row>
    <row r="1416" spans="1:8" ht="16.5" hidden="1" customHeight="1">
      <c r="A1416" s="1836"/>
      <c r="B1416" s="1822"/>
      <c r="C1416" s="4383" t="s">
        <v>976</v>
      </c>
      <c r="D1416" s="4384"/>
      <c r="E1416" s="2788">
        <f>SUM(E1421:E1432)</f>
        <v>0</v>
      </c>
      <c r="F1416" s="2788">
        <f>SUM(F1421:F1432)</f>
        <v>40970</v>
      </c>
      <c r="G1416" s="2787">
        <f>SUM(G1421:G1432)</f>
        <v>0</v>
      </c>
      <c r="H1416" s="2734">
        <f t="shared" ref="H1416:H1432" si="105">G1416/F1416</f>
        <v>0</v>
      </c>
    </row>
    <row r="1417" spans="1:8" ht="16.5" hidden="1" customHeight="1">
      <c r="A1417" s="1836"/>
      <c r="B1417" s="1822"/>
      <c r="C1417" s="2768" t="s">
        <v>599</v>
      </c>
      <c r="D1417" s="2786" t="s">
        <v>1110</v>
      </c>
      <c r="E1417" s="2785">
        <v>0</v>
      </c>
      <c r="F1417" s="2687"/>
      <c r="G1417" s="2686"/>
      <c r="H1417" s="2734" t="e">
        <f t="shared" si="105"/>
        <v>#DIV/0!</v>
      </c>
    </row>
    <row r="1418" spans="1:8" ht="16.5" hidden="1" customHeight="1">
      <c r="A1418" s="1836"/>
      <c r="B1418" s="1822"/>
      <c r="C1418" s="2768" t="s">
        <v>598</v>
      </c>
      <c r="D1418" s="2786" t="s">
        <v>1110</v>
      </c>
      <c r="E1418" s="2785">
        <v>0</v>
      </c>
      <c r="F1418" s="2687"/>
      <c r="G1418" s="2686"/>
      <c r="H1418" s="2734" t="e">
        <f t="shared" si="105"/>
        <v>#DIV/0!</v>
      </c>
    </row>
    <row r="1419" spans="1:8" ht="16.5" hidden="1" customHeight="1">
      <c r="A1419" s="1836"/>
      <c r="B1419" s="1822"/>
      <c r="C1419" s="2768" t="s">
        <v>462</v>
      </c>
      <c r="D1419" s="2504" t="s">
        <v>1015</v>
      </c>
      <c r="E1419" s="2785">
        <v>0</v>
      </c>
      <c r="F1419" s="2687"/>
      <c r="G1419" s="2686"/>
      <c r="H1419" s="2734" t="e">
        <f t="shared" si="105"/>
        <v>#DIV/0!</v>
      </c>
    </row>
    <row r="1420" spans="1:8" ht="16.5" hidden="1" customHeight="1">
      <c r="A1420" s="1836"/>
      <c r="B1420" s="1822"/>
      <c r="C1420" s="2768" t="s">
        <v>461</v>
      </c>
      <c r="D1420" s="2504" t="s">
        <v>1015</v>
      </c>
      <c r="E1420" s="2785">
        <v>0</v>
      </c>
      <c r="F1420" s="2687"/>
      <c r="G1420" s="2686"/>
      <c r="H1420" s="2734" t="e">
        <f t="shared" si="105"/>
        <v>#DIV/0!</v>
      </c>
    </row>
    <row r="1421" spans="1:8" ht="16.5" hidden="1" customHeight="1">
      <c r="A1421" s="1836"/>
      <c r="B1421" s="1822"/>
      <c r="C1421" s="2768" t="s">
        <v>460</v>
      </c>
      <c r="D1421" s="2767" t="s">
        <v>964</v>
      </c>
      <c r="E1421" s="2785">
        <v>0</v>
      </c>
      <c r="F1421" s="2687">
        <v>4141</v>
      </c>
      <c r="G1421" s="2686">
        <v>0</v>
      </c>
      <c r="H1421" s="2734">
        <f t="shared" si="105"/>
        <v>0</v>
      </c>
    </row>
    <row r="1422" spans="1:8" ht="16.5" hidden="1" customHeight="1">
      <c r="A1422" s="1836"/>
      <c r="B1422" s="1822"/>
      <c r="C1422" s="2768" t="s">
        <v>459</v>
      </c>
      <c r="D1422" s="2767" t="s">
        <v>964</v>
      </c>
      <c r="E1422" s="2785">
        <v>0</v>
      </c>
      <c r="F1422" s="2687">
        <v>250</v>
      </c>
      <c r="G1422" s="2686">
        <v>0</v>
      </c>
      <c r="H1422" s="2734">
        <f t="shared" si="105"/>
        <v>0</v>
      </c>
    </row>
    <row r="1423" spans="1:8" ht="27" hidden="1" customHeight="1">
      <c r="A1423" s="1836"/>
      <c r="B1423" s="1822"/>
      <c r="C1423" s="2768" t="s">
        <v>458</v>
      </c>
      <c r="D1423" s="2767" t="s">
        <v>1062</v>
      </c>
      <c r="E1423" s="2785">
        <v>0</v>
      </c>
      <c r="F1423" s="2687">
        <v>591</v>
      </c>
      <c r="G1423" s="2686">
        <v>0</v>
      </c>
      <c r="H1423" s="2734">
        <f t="shared" si="105"/>
        <v>0</v>
      </c>
    </row>
    <row r="1424" spans="1:8" ht="27" hidden="1" customHeight="1">
      <c r="A1424" s="1836"/>
      <c r="B1424" s="1822"/>
      <c r="C1424" s="2768" t="s">
        <v>457</v>
      </c>
      <c r="D1424" s="2767" t="s">
        <v>1062</v>
      </c>
      <c r="E1424" s="2785">
        <v>0</v>
      </c>
      <c r="F1424" s="2687">
        <v>35</v>
      </c>
      <c r="G1424" s="2686">
        <v>0</v>
      </c>
      <c r="H1424" s="2734">
        <f t="shared" si="105"/>
        <v>0</v>
      </c>
    </row>
    <row r="1425" spans="1:8" ht="27" hidden="1" customHeight="1">
      <c r="A1425" s="1836"/>
      <c r="B1425" s="1822"/>
      <c r="C1425" s="2768" t="s">
        <v>456</v>
      </c>
      <c r="D1425" s="2767" t="s">
        <v>1062</v>
      </c>
      <c r="E1425" s="2785">
        <v>0</v>
      </c>
      <c r="F1425" s="2687">
        <v>24089</v>
      </c>
      <c r="G1425" s="2686">
        <v>0</v>
      </c>
      <c r="H1425" s="2734">
        <f t="shared" si="105"/>
        <v>0</v>
      </c>
    </row>
    <row r="1426" spans="1:8" ht="27" hidden="1" customHeight="1">
      <c r="A1426" s="1836"/>
      <c r="B1426" s="1822"/>
      <c r="C1426" s="2768" t="s">
        <v>455</v>
      </c>
      <c r="D1426" s="2767" t="s">
        <v>1062</v>
      </c>
      <c r="E1426" s="2785">
        <v>0</v>
      </c>
      <c r="F1426" s="2687">
        <v>1459</v>
      </c>
      <c r="G1426" s="2686">
        <v>0</v>
      </c>
      <c r="H1426" s="2734">
        <f t="shared" si="105"/>
        <v>0</v>
      </c>
    </row>
    <row r="1427" spans="1:8" ht="1.5" hidden="1" customHeight="1">
      <c r="A1427" s="1836"/>
      <c r="B1427" s="1822"/>
      <c r="C1427" s="2768" t="s">
        <v>469</v>
      </c>
      <c r="D1427" s="2767" t="s">
        <v>1062</v>
      </c>
      <c r="E1427" s="2785">
        <v>0</v>
      </c>
      <c r="F1427" s="2687"/>
      <c r="G1427" s="2686"/>
      <c r="H1427" s="2734" t="e">
        <f t="shared" si="105"/>
        <v>#DIV/0!</v>
      </c>
    </row>
    <row r="1428" spans="1:8" ht="25.5" hidden="1">
      <c r="A1428" s="1836"/>
      <c r="B1428" s="1822"/>
      <c r="C1428" s="2768" t="s">
        <v>468</v>
      </c>
      <c r="D1428" s="2767" t="s">
        <v>1062</v>
      </c>
      <c r="E1428" s="2785">
        <v>0</v>
      </c>
      <c r="F1428" s="2687"/>
      <c r="G1428" s="2686"/>
      <c r="H1428" s="2734" t="e">
        <f t="shared" si="105"/>
        <v>#DIV/0!</v>
      </c>
    </row>
    <row r="1429" spans="1:8" ht="16.5" hidden="1" customHeight="1">
      <c r="A1429" s="1836"/>
      <c r="B1429" s="1822"/>
      <c r="C1429" s="2768" t="s">
        <v>446</v>
      </c>
      <c r="D1429" s="2767" t="s">
        <v>958</v>
      </c>
      <c r="E1429" s="2785">
        <v>0</v>
      </c>
      <c r="F1429" s="2687">
        <v>9742</v>
      </c>
      <c r="G1429" s="2686">
        <v>0</v>
      </c>
      <c r="H1429" s="2734">
        <f t="shared" si="105"/>
        <v>0</v>
      </c>
    </row>
    <row r="1430" spans="1:8" ht="16.5" hidden="1" customHeight="1">
      <c r="A1430" s="1836"/>
      <c r="B1430" s="1822"/>
      <c r="C1430" s="2768" t="s">
        <v>445</v>
      </c>
      <c r="D1430" s="2767" t="s">
        <v>958</v>
      </c>
      <c r="E1430" s="2785">
        <v>0</v>
      </c>
      <c r="F1430" s="2687">
        <v>590</v>
      </c>
      <c r="G1430" s="2686">
        <v>0</v>
      </c>
      <c r="H1430" s="2734">
        <f t="shared" si="105"/>
        <v>0</v>
      </c>
    </row>
    <row r="1431" spans="1:8" ht="16.5" hidden="1" customHeight="1">
      <c r="A1431" s="1836"/>
      <c r="B1431" s="1822"/>
      <c r="C1431" s="2768" t="s">
        <v>454</v>
      </c>
      <c r="D1431" s="2639" t="s">
        <v>1011</v>
      </c>
      <c r="E1431" s="2785">
        <v>0</v>
      </c>
      <c r="F1431" s="2687">
        <v>68</v>
      </c>
      <c r="G1431" s="2686">
        <v>0</v>
      </c>
      <c r="H1431" s="2734">
        <f t="shared" si="105"/>
        <v>0</v>
      </c>
    </row>
    <row r="1432" spans="1:8" ht="16.5" hidden="1" customHeight="1">
      <c r="A1432" s="1836"/>
      <c r="B1432" s="1822"/>
      <c r="C1432" s="2774" t="s">
        <v>453</v>
      </c>
      <c r="D1432" s="2639" t="s">
        <v>1011</v>
      </c>
      <c r="E1432" s="2785">
        <v>0</v>
      </c>
      <c r="F1432" s="2687">
        <v>5</v>
      </c>
      <c r="G1432" s="2686">
        <v>0</v>
      </c>
      <c r="H1432" s="2734">
        <f t="shared" si="105"/>
        <v>0</v>
      </c>
    </row>
    <row r="1433" spans="1:8" s="1702" customFormat="1" ht="16.5" customHeight="1">
      <c r="A1433" s="1756"/>
      <c r="B1433" s="1831"/>
      <c r="C1433" s="2699"/>
      <c r="D1433" s="2784"/>
      <c r="E1433" s="2783"/>
      <c r="F1433" s="2687"/>
      <c r="G1433" s="2686"/>
      <c r="H1433" s="2734"/>
    </row>
    <row r="1434" spans="1:8" s="1702" customFormat="1" ht="16.5" customHeight="1">
      <c r="A1434" s="1756"/>
      <c r="B1434" s="1831"/>
      <c r="C1434" s="4385" t="s">
        <v>941</v>
      </c>
      <c r="D1434" s="4385"/>
      <c r="E1434" s="2538">
        <v>0</v>
      </c>
      <c r="F1434" s="2782">
        <f>SUM(F1435)</f>
        <v>0</v>
      </c>
      <c r="G1434" s="2781">
        <f>SUM(G1435)</f>
        <v>28300</v>
      </c>
      <c r="H1434" s="2780"/>
    </row>
    <row r="1435" spans="1:8" s="1702" customFormat="1" ht="16.5" customHeight="1">
      <c r="A1435" s="1756"/>
      <c r="B1435" s="1831"/>
      <c r="C1435" s="4382" t="s">
        <v>940</v>
      </c>
      <c r="D1435" s="4386"/>
      <c r="E1435" s="2687">
        <v>0</v>
      </c>
      <c r="F1435" s="2687">
        <f>SUM(F1436)</f>
        <v>0</v>
      </c>
      <c r="G1435" s="2686">
        <f>SUM(G1436)</f>
        <v>28300</v>
      </c>
      <c r="H1435" s="2734"/>
    </row>
    <row r="1436" spans="1:8" s="1702" customFormat="1" ht="16.5" customHeight="1" thickBot="1">
      <c r="A1436" s="1756"/>
      <c r="B1436" s="1831"/>
      <c r="C1436" s="2779" t="s">
        <v>553</v>
      </c>
      <c r="D1436" s="2501" t="s">
        <v>1072</v>
      </c>
      <c r="E1436" s="2687">
        <v>0</v>
      </c>
      <c r="F1436" s="2687">
        <v>0</v>
      </c>
      <c r="G1436" s="2686">
        <v>28300</v>
      </c>
      <c r="H1436" s="2734"/>
    </row>
    <row r="1437" spans="1:8" s="1702" customFormat="1" ht="16.5" hidden="1" customHeight="1" thickBot="1">
      <c r="A1437" s="1756"/>
      <c r="B1437" s="1831"/>
      <c r="C1437" s="2778"/>
      <c r="D1437" s="2689"/>
      <c r="E1437" s="2500"/>
      <c r="F1437" s="2687"/>
      <c r="G1437" s="2686"/>
      <c r="H1437" s="2777"/>
    </row>
    <row r="1438" spans="1:8" ht="17.100000000000001" customHeight="1" thickBot="1">
      <c r="A1438" s="1836"/>
      <c r="B1438" s="1768" t="s">
        <v>463</v>
      </c>
      <c r="C1438" s="2105"/>
      <c r="D1438" s="1838" t="s">
        <v>278</v>
      </c>
      <c r="E1438" s="1818">
        <f>SUM(E1439,E1515)</f>
        <v>13198187</v>
      </c>
      <c r="F1438" s="1818">
        <f>SUM(F1439,F1515)</f>
        <v>15406104</v>
      </c>
      <c r="G1438" s="1817">
        <f>SUM(G1439,G1515)</f>
        <v>18575044</v>
      </c>
      <c r="H1438" s="1763">
        <f t="shared" ref="H1438:H1449" si="106">G1438/F1438</f>
        <v>1.2056937951347075</v>
      </c>
    </row>
    <row r="1439" spans="1:8" ht="17.100000000000001" customHeight="1">
      <c r="A1439" s="1836"/>
      <c r="B1439" s="1831"/>
      <c r="C1439" s="4296" t="s">
        <v>944</v>
      </c>
      <c r="D1439" s="4296"/>
      <c r="E1439" s="2538">
        <f>SUM(E1440,E1465,E1468)</f>
        <v>13158477</v>
      </c>
      <c r="F1439" s="2538">
        <f>SUM(F1440,F1465,F1468)</f>
        <v>15366394</v>
      </c>
      <c r="G1439" s="1761">
        <f>SUM(G1440,G1465,G1468)</f>
        <v>18527044</v>
      </c>
      <c r="H1439" s="2537">
        <f t="shared" si="106"/>
        <v>1.2056858622784239</v>
      </c>
    </row>
    <row r="1440" spans="1:8" ht="17.100000000000001" customHeight="1">
      <c r="A1440" s="1836"/>
      <c r="B1440" s="1822"/>
      <c r="C1440" s="4387" t="s">
        <v>967</v>
      </c>
      <c r="D1440" s="4387"/>
      <c r="E1440" s="2687">
        <f>SUM(E1441,E1451)</f>
        <v>13083792</v>
      </c>
      <c r="F1440" s="2687">
        <f>SUM(F1441,F1451)</f>
        <v>14879923</v>
      </c>
      <c r="G1440" s="2686">
        <f>SUM(G1441,G1451)</f>
        <v>18355151</v>
      </c>
      <c r="H1440" s="2734">
        <f t="shared" si="106"/>
        <v>1.2335514773833172</v>
      </c>
    </row>
    <row r="1441" spans="1:8" ht="17.100000000000001" customHeight="1">
      <c r="A1441" s="1836"/>
      <c r="B1441" s="1822"/>
      <c r="C1441" s="4374" t="s">
        <v>966</v>
      </c>
      <c r="D1441" s="4374"/>
      <c r="E1441" s="2694">
        <f>SUM(E1442:E1449)</f>
        <v>12054522</v>
      </c>
      <c r="F1441" s="2694">
        <f>SUM(F1442:F1449)</f>
        <v>13602758</v>
      </c>
      <c r="G1441" s="2715">
        <f>SUM(G1442:G1449)</f>
        <v>16394932</v>
      </c>
      <c r="H1441" s="2776">
        <f t="shared" si="106"/>
        <v>1.2052652851723158</v>
      </c>
    </row>
    <row r="1442" spans="1:8" ht="17.100000000000001" customHeight="1">
      <c r="A1442" s="1836"/>
      <c r="B1442" s="1822"/>
      <c r="C1442" s="2768" t="s">
        <v>1016</v>
      </c>
      <c r="D1442" s="2767" t="s">
        <v>1015</v>
      </c>
      <c r="E1442" s="2687">
        <v>5485566</v>
      </c>
      <c r="F1442" s="2687">
        <v>5718846</v>
      </c>
      <c r="G1442" s="2686">
        <v>8558837</v>
      </c>
      <c r="H1442" s="2734">
        <f t="shared" si="106"/>
        <v>1.4966021116847699</v>
      </c>
    </row>
    <row r="1443" spans="1:8" ht="17.100000000000001" customHeight="1">
      <c r="A1443" s="1836"/>
      <c r="B1443" s="1822"/>
      <c r="C1443" s="2768" t="s">
        <v>1014</v>
      </c>
      <c r="D1443" s="2767" t="s">
        <v>1013</v>
      </c>
      <c r="E1443" s="2687">
        <v>415340</v>
      </c>
      <c r="F1443" s="2687">
        <v>415340</v>
      </c>
      <c r="G1443" s="2686">
        <v>583292</v>
      </c>
      <c r="H1443" s="2734">
        <f t="shared" si="106"/>
        <v>1.4043723214715655</v>
      </c>
    </row>
    <row r="1444" spans="1:8" ht="17.100000000000001" customHeight="1">
      <c r="A1444" s="1836"/>
      <c r="B1444" s="1822"/>
      <c r="C1444" s="2768" t="s">
        <v>965</v>
      </c>
      <c r="D1444" s="2767" t="s">
        <v>964</v>
      </c>
      <c r="E1444" s="2687">
        <v>1692809</v>
      </c>
      <c r="F1444" s="2687">
        <v>1862938</v>
      </c>
      <c r="G1444" s="2686">
        <v>2348807</v>
      </c>
      <c r="H1444" s="2734">
        <f t="shared" si="106"/>
        <v>1.2608079281221383</v>
      </c>
    </row>
    <row r="1445" spans="1:8" ht="17.100000000000001" customHeight="1">
      <c r="A1445" s="1836"/>
      <c r="B1445" s="1822"/>
      <c r="C1445" s="2774" t="s">
        <v>963</v>
      </c>
      <c r="D1445" s="2775" t="s">
        <v>962</v>
      </c>
      <c r="E1445" s="2687">
        <v>241287</v>
      </c>
      <c r="F1445" s="2687">
        <v>258772</v>
      </c>
      <c r="G1445" s="2686">
        <v>334376</v>
      </c>
      <c r="H1445" s="2734">
        <f t="shared" si="106"/>
        <v>1.2921645309384322</v>
      </c>
    </row>
    <row r="1446" spans="1:8" ht="16.5" customHeight="1">
      <c r="A1446" s="1836"/>
      <c r="B1446" s="1822"/>
      <c r="C1446" s="2502" t="s">
        <v>974</v>
      </c>
      <c r="D1446" s="2639" t="s">
        <v>973</v>
      </c>
      <c r="E1446" s="2687">
        <v>0</v>
      </c>
      <c r="F1446" s="2687">
        <v>6900</v>
      </c>
      <c r="G1446" s="2686">
        <v>0</v>
      </c>
      <c r="H1446" s="2734">
        <f t="shared" si="106"/>
        <v>0</v>
      </c>
    </row>
    <row r="1447" spans="1:8" ht="17.100000000000001" customHeight="1">
      <c r="A1447" s="1836"/>
      <c r="B1447" s="1822"/>
      <c r="C1447" s="2502" t="s">
        <v>1012</v>
      </c>
      <c r="D1447" s="2639" t="s">
        <v>1011</v>
      </c>
      <c r="E1447" s="2687">
        <v>91370</v>
      </c>
      <c r="F1447" s="2687">
        <v>93779</v>
      </c>
      <c r="G1447" s="2686">
        <v>47953</v>
      </c>
      <c r="H1447" s="2734">
        <f t="shared" si="106"/>
        <v>0.51134049200780562</v>
      </c>
    </row>
    <row r="1448" spans="1:8" ht="17.100000000000001" customHeight="1" thickBot="1">
      <c r="A1448" s="1836"/>
      <c r="B1448" s="1822"/>
      <c r="C1448" s="2774" t="s">
        <v>1107</v>
      </c>
      <c r="D1448" s="2773" t="s">
        <v>1106</v>
      </c>
      <c r="E1448" s="2687">
        <v>3813674</v>
      </c>
      <c r="F1448" s="2687">
        <v>4857333</v>
      </c>
      <c r="G1448" s="2686">
        <v>4187785</v>
      </c>
      <c r="H1448" s="2617">
        <f t="shared" si="106"/>
        <v>0.86215727849006851</v>
      </c>
    </row>
    <row r="1449" spans="1:8" ht="17.100000000000001" customHeight="1">
      <c r="A1449" s="1822"/>
      <c r="B1449" s="1822"/>
      <c r="C1449" s="2709" t="s">
        <v>1105</v>
      </c>
      <c r="D1449" s="2501" t="s">
        <v>1104</v>
      </c>
      <c r="E1449" s="2500">
        <v>314476</v>
      </c>
      <c r="F1449" s="2500">
        <v>388850</v>
      </c>
      <c r="G1449" s="1802">
        <v>333882</v>
      </c>
      <c r="H1449" s="2099">
        <f t="shared" si="106"/>
        <v>0.85863957824353865</v>
      </c>
    </row>
    <row r="1450" spans="1:8" ht="17.100000000000001" customHeight="1">
      <c r="A1450" s="1836"/>
      <c r="B1450" s="1822"/>
      <c r="C1450" s="2706"/>
      <c r="D1450" s="2772"/>
      <c r="E1450" s="2706"/>
      <c r="F1450" s="2687"/>
      <c r="G1450" s="2686"/>
      <c r="H1450" s="2734"/>
    </row>
    <row r="1451" spans="1:8" ht="17.100000000000001" customHeight="1">
      <c r="A1451" s="1822"/>
      <c r="B1451" s="1822"/>
      <c r="C1451" s="4375" t="s">
        <v>961</v>
      </c>
      <c r="D1451" s="4375"/>
      <c r="E1451" s="2771">
        <f>SUM(E1452:E1463)</f>
        <v>1029270</v>
      </c>
      <c r="F1451" s="2771">
        <f>SUM(F1452:F1463)</f>
        <v>1277165</v>
      </c>
      <c r="G1451" s="1808">
        <f>SUM(G1452:G1463)</f>
        <v>1960219</v>
      </c>
      <c r="H1451" s="2770">
        <f t="shared" ref="H1451:H1463" si="107">G1451/F1451</f>
        <v>1.5348204813003801</v>
      </c>
    </row>
    <row r="1452" spans="1:8" ht="17.100000000000001" customHeight="1">
      <c r="A1452" s="1836"/>
      <c r="B1452" s="1822"/>
      <c r="C1452" s="2768" t="s">
        <v>1048</v>
      </c>
      <c r="D1452" s="2767" t="s">
        <v>1047</v>
      </c>
      <c r="E1452" s="2687">
        <v>36513</v>
      </c>
      <c r="F1452" s="2687">
        <v>36513</v>
      </c>
      <c r="G1452" s="2686">
        <v>38244</v>
      </c>
      <c r="H1452" s="2734">
        <f t="shared" si="107"/>
        <v>1.0474077725741517</v>
      </c>
    </row>
    <row r="1453" spans="1:8" ht="16.5" customHeight="1">
      <c r="A1453" s="1836"/>
      <c r="B1453" s="1822"/>
      <c r="C1453" s="2768" t="s">
        <v>613</v>
      </c>
      <c r="D1453" s="2767" t="s">
        <v>960</v>
      </c>
      <c r="E1453" s="2687">
        <v>0</v>
      </c>
      <c r="F1453" s="2687">
        <v>2000</v>
      </c>
      <c r="G1453" s="2686">
        <v>253000</v>
      </c>
      <c r="H1453" s="2734">
        <f t="shared" si="107"/>
        <v>126.5</v>
      </c>
    </row>
    <row r="1454" spans="1:8" ht="17.100000000000001" customHeight="1">
      <c r="A1454" s="1836"/>
      <c r="B1454" s="1822"/>
      <c r="C1454" s="2768" t="s">
        <v>1004</v>
      </c>
      <c r="D1454" s="2767" t="s">
        <v>1003</v>
      </c>
      <c r="E1454" s="2687">
        <v>246011</v>
      </c>
      <c r="F1454" s="2687">
        <v>246011</v>
      </c>
      <c r="G1454" s="2686">
        <v>282900</v>
      </c>
      <c r="H1454" s="2734">
        <f t="shared" si="107"/>
        <v>1.1499485795350615</v>
      </c>
    </row>
    <row r="1455" spans="1:8" ht="17.100000000000001" customHeight="1">
      <c r="A1455" s="1836"/>
      <c r="B1455" s="1822"/>
      <c r="C1455" s="2768" t="s">
        <v>1002</v>
      </c>
      <c r="D1455" s="2767" t="s">
        <v>1001</v>
      </c>
      <c r="E1455" s="2687">
        <v>347880</v>
      </c>
      <c r="F1455" s="2687">
        <v>347880</v>
      </c>
      <c r="G1455" s="2686">
        <v>884805</v>
      </c>
      <c r="H1455" s="2734">
        <f t="shared" si="107"/>
        <v>2.543420144877544</v>
      </c>
    </row>
    <row r="1456" spans="1:8" ht="17.100000000000001" customHeight="1">
      <c r="A1456" s="1836"/>
      <c r="B1456" s="1822"/>
      <c r="C1456" s="2768" t="s">
        <v>1000</v>
      </c>
      <c r="D1456" s="2767" t="s">
        <v>999</v>
      </c>
      <c r="E1456" s="2687">
        <v>9500</v>
      </c>
      <c r="F1456" s="2687">
        <v>14100</v>
      </c>
      <c r="G1456" s="2686">
        <v>26250</v>
      </c>
      <c r="H1456" s="2734">
        <f t="shared" si="107"/>
        <v>1.8617021276595744</v>
      </c>
    </row>
    <row r="1457" spans="1:8" ht="17.100000000000001" customHeight="1">
      <c r="A1457" s="1836"/>
      <c r="B1457" s="1822"/>
      <c r="C1457" s="2768" t="s">
        <v>959</v>
      </c>
      <c r="D1457" s="2767" t="s">
        <v>958</v>
      </c>
      <c r="E1457" s="2687">
        <v>34493</v>
      </c>
      <c r="F1457" s="2687">
        <v>73493</v>
      </c>
      <c r="G1457" s="2686">
        <v>52040</v>
      </c>
      <c r="H1457" s="2734">
        <f t="shared" si="107"/>
        <v>0.70809464846992232</v>
      </c>
    </row>
    <row r="1458" spans="1:8" ht="17.100000000000001" hidden="1" customHeight="1">
      <c r="A1458" s="1836"/>
      <c r="B1458" s="1822"/>
      <c r="C1458" s="2769" t="s">
        <v>996</v>
      </c>
      <c r="D1458" s="2767" t="s">
        <v>995</v>
      </c>
      <c r="E1458" s="2687">
        <v>0</v>
      </c>
      <c r="F1458" s="2687"/>
      <c r="G1458" s="2686"/>
      <c r="H1458" s="2734" t="e">
        <f t="shared" si="107"/>
        <v>#DIV/0!</v>
      </c>
    </row>
    <row r="1459" spans="1:8" ht="17.100000000000001" customHeight="1">
      <c r="A1459" s="1836"/>
      <c r="B1459" s="1822"/>
      <c r="C1459" s="2768" t="s">
        <v>992</v>
      </c>
      <c r="D1459" s="2767" t="s">
        <v>991</v>
      </c>
      <c r="E1459" s="2687">
        <v>26504</v>
      </c>
      <c r="F1459" s="2687">
        <v>36504</v>
      </c>
      <c r="G1459" s="2686">
        <v>30202</v>
      </c>
      <c r="H1459" s="2734">
        <f t="shared" si="107"/>
        <v>0.82736138505369272</v>
      </c>
    </row>
    <row r="1460" spans="1:8" ht="17.100000000000001" hidden="1" customHeight="1">
      <c r="A1460" s="1836"/>
      <c r="B1460" s="1822"/>
      <c r="C1460" s="2768" t="s">
        <v>988</v>
      </c>
      <c r="D1460" s="2767" t="s">
        <v>987</v>
      </c>
      <c r="E1460" s="2687">
        <v>0</v>
      </c>
      <c r="F1460" s="2687"/>
      <c r="G1460" s="2686"/>
      <c r="H1460" s="2734" t="e">
        <f t="shared" si="107"/>
        <v>#DIV/0!</v>
      </c>
    </row>
    <row r="1461" spans="1:8" ht="17.100000000000001" customHeight="1">
      <c r="A1461" s="1836"/>
      <c r="B1461" s="1822"/>
      <c r="C1461" s="2768" t="s">
        <v>986</v>
      </c>
      <c r="D1461" s="2767" t="s">
        <v>985</v>
      </c>
      <c r="E1461" s="2687">
        <v>313080</v>
      </c>
      <c r="F1461" s="2687">
        <v>359275</v>
      </c>
      <c r="G1461" s="2686">
        <v>375278</v>
      </c>
      <c r="H1461" s="2734">
        <f t="shared" si="107"/>
        <v>1.0445424813861248</v>
      </c>
    </row>
    <row r="1462" spans="1:8" ht="17.100000000000001" customHeight="1">
      <c r="A1462" s="1836"/>
      <c r="B1462" s="1822"/>
      <c r="C1462" s="2769" t="s">
        <v>1158</v>
      </c>
      <c r="D1462" s="2767" t="s">
        <v>1157</v>
      </c>
      <c r="E1462" s="2687">
        <v>200</v>
      </c>
      <c r="F1462" s="2687">
        <v>200</v>
      </c>
      <c r="G1462" s="2686">
        <v>200</v>
      </c>
      <c r="H1462" s="2734">
        <f t="shared" si="107"/>
        <v>1</v>
      </c>
    </row>
    <row r="1463" spans="1:8" ht="16.5" customHeight="1">
      <c r="A1463" s="1836"/>
      <c r="B1463" s="1822"/>
      <c r="C1463" s="2768" t="s">
        <v>982</v>
      </c>
      <c r="D1463" s="2767" t="s">
        <v>981</v>
      </c>
      <c r="E1463" s="2687">
        <v>15089</v>
      </c>
      <c r="F1463" s="2687">
        <v>161189</v>
      </c>
      <c r="G1463" s="2686">
        <v>17300</v>
      </c>
      <c r="H1463" s="2734">
        <f t="shared" si="107"/>
        <v>0.10732742308718336</v>
      </c>
    </row>
    <row r="1464" spans="1:8" ht="17.100000000000001" customHeight="1">
      <c r="A1464" s="1836"/>
      <c r="B1464" s="1822"/>
      <c r="C1464" s="2766"/>
      <c r="D1464" s="2766"/>
      <c r="E1464" s="2765"/>
      <c r="F1464" s="2687"/>
      <c r="G1464" s="2686"/>
      <c r="H1464" s="2734"/>
    </row>
    <row r="1465" spans="1:8" ht="17.100000000000001" customHeight="1">
      <c r="A1465" s="1836"/>
      <c r="B1465" s="1822"/>
      <c r="C1465" s="4376" t="s">
        <v>1199</v>
      </c>
      <c r="D1465" s="4376"/>
      <c r="E1465" s="2764">
        <f>SUM(E1466)</f>
        <v>14600</v>
      </c>
      <c r="F1465" s="2764">
        <f>SUM(F1466)</f>
        <v>14600</v>
      </c>
      <c r="G1465" s="2763">
        <f>SUM(G1466)</f>
        <v>26250</v>
      </c>
      <c r="H1465" s="2734">
        <f>G1465/F1465</f>
        <v>1.797945205479452</v>
      </c>
    </row>
    <row r="1466" spans="1:8" ht="17.100000000000001" customHeight="1">
      <c r="A1466" s="1836"/>
      <c r="B1466" s="1822"/>
      <c r="C1466" s="2762" t="s">
        <v>980</v>
      </c>
      <c r="D1466" s="2688" t="s">
        <v>979</v>
      </c>
      <c r="E1466" s="2761">
        <v>14600</v>
      </c>
      <c r="F1466" s="2687">
        <v>14600</v>
      </c>
      <c r="G1466" s="2686">
        <v>26250</v>
      </c>
      <c r="H1466" s="2734">
        <f>G1466/F1466</f>
        <v>1.797945205479452</v>
      </c>
    </row>
    <row r="1467" spans="1:8" ht="15.75" customHeight="1">
      <c r="A1467" s="1836"/>
      <c r="B1467" s="1822"/>
      <c r="C1467" s="2760"/>
      <c r="D1467" s="2759"/>
      <c r="E1467" s="2758"/>
      <c r="F1467" s="2682"/>
      <c r="G1467" s="2681"/>
      <c r="H1467" s="2757"/>
    </row>
    <row r="1468" spans="1:8" ht="17.25" customHeight="1">
      <c r="A1468" s="1836"/>
      <c r="B1468" s="1822"/>
      <c r="C1468" s="4361" t="s">
        <v>976</v>
      </c>
      <c r="D1468" s="4362"/>
      <c r="E1468" s="2500">
        <f>SUM(E1475:E1513)</f>
        <v>60085</v>
      </c>
      <c r="F1468" s="2500">
        <f>SUM(F1475:F1513)</f>
        <v>471871</v>
      </c>
      <c r="G1468" s="1802">
        <f>SUM(G1475:G1513)</f>
        <v>145643</v>
      </c>
      <c r="H1468" s="2734">
        <f t="shared" ref="H1468:H1513" si="108">G1468/F1468</f>
        <v>0.30865003358968873</v>
      </c>
    </row>
    <row r="1469" spans="1:8" ht="54" hidden="1" customHeight="1">
      <c r="A1469" s="1836"/>
      <c r="B1469" s="1822"/>
      <c r="C1469" s="2756" t="s">
        <v>183</v>
      </c>
      <c r="D1469" s="2754" t="s">
        <v>1226</v>
      </c>
      <c r="E1469" s="2687">
        <v>0</v>
      </c>
      <c r="F1469" s="2687"/>
      <c r="G1469" s="2686"/>
      <c r="H1469" s="2734" t="e">
        <f t="shared" si="108"/>
        <v>#DIV/0!</v>
      </c>
    </row>
    <row r="1470" spans="1:8" ht="51" hidden="1">
      <c r="A1470" s="1836"/>
      <c r="B1470" s="1822"/>
      <c r="C1470" s="2755" t="s">
        <v>185</v>
      </c>
      <c r="D1470" s="2754" t="s">
        <v>1226</v>
      </c>
      <c r="E1470" s="2687">
        <v>0</v>
      </c>
      <c r="F1470" s="2687"/>
      <c r="G1470" s="2686"/>
      <c r="H1470" s="2734" t="e">
        <f t="shared" si="108"/>
        <v>#DIV/0!</v>
      </c>
    </row>
    <row r="1471" spans="1:8" ht="15.75" hidden="1" customHeight="1">
      <c r="A1471" s="1836"/>
      <c r="B1471" s="1822"/>
      <c r="C1471" s="2753" t="s">
        <v>346</v>
      </c>
      <c r="D1471" s="2754" t="s">
        <v>1115</v>
      </c>
      <c r="E1471" s="2687">
        <v>0</v>
      </c>
      <c r="F1471" s="2687"/>
      <c r="G1471" s="2686"/>
      <c r="H1471" s="2734" t="e">
        <f t="shared" si="108"/>
        <v>#DIV/0!</v>
      </c>
    </row>
    <row r="1472" spans="1:8" ht="17.100000000000001" hidden="1" customHeight="1">
      <c r="A1472" s="1836"/>
      <c r="B1472" s="1822"/>
      <c r="C1472" s="2753" t="s">
        <v>516</v>
      </c>
      <c r="D1472" s="2754" t="s">
        <v>979</v>
      </c>
      <c r="E1472" s="2687">
        <v>0</v>
      </c>
      <c r="F1472" s="2687"/>
      <c r="G1472" s="2686"/>
      <c r="H1472" s="2734" t="e">
        <f t="shared" si="108"/>
        <v>#DIV/0!</v>
      </c>
    </row>
    <row r="1473" spans="1:8" ht="17.100000000000001" hidden="1" customHeight="1">
      <c r="A1473" s="1836"/>
      <c r="B1473" s="1822"/>
      <c r="C1473" s="2753" t="s">
        <v>515</v>
      </c>
      <c r="D1473" s="2754" t="s">
        <v>979</v>
      </c>
      <c r="E1473" s="2687">
        <v>0</v>
      </c>
      <c r="F1473" s="2687"/>
      <c r="G1473" s="2686"/>
      <c r="H1473" s="2734" t="e">
        <f t="shared" si="108"/>
        <v>#DIV/0!</v>
      </c>
    </row>
    <row r="1474" spans="1:8" ht="17.100000000000001" hidden="1" customHeight="1">
      <c r="A1474" s="1836"/>
      <c r="B1474" s="1822"/>
      <c r="C1474" s="2753" t="s">
        <v>1225</v>
      </c>
      <c r="D1474" s="2751" t="s">
        <v>1015</v>
      </c>
      <c r="E1474" s="2687">
        <v>0</v>
      </c>
      <c r="F1474" s="2687"/>
      <c r="G1474" s="2686"/>
      <c r="H1474" s="2734" t="e">
        <f t="shared" si="108"/>
        <v>#DIV/0!</v>
      </c>
    </row>
    <row r="1475" spans="1:8" ht="17.100000000000001" customHeight="1">
      <c r="A1475" s="1836"/>
      <c r="B1475" s="1822"/>
      <c r="C1475" s="2752" t="s">
        <v>462</v>
      </c>
      <c r="D1475" s="2751" t="s">
        <v>1015</v>
      </c>
      <c r="E1475" s="2687">
        <v>27165</v>
      </c>
      <c r="F1475" s="2687">
        <v>82445</v>
      </c>
      <c r="G1475" s="2686">
        <v>19515</v>
      </c>
      <c r="H1475" s="2734">
        <f t="shared" si="108"/>
        <v>0.23670325671659895</v>
      </c>
    </row>
    <row r="1476" spans="1:8" ht="17.100000000000001" customHeight="1">
      <c r="A1476" s="1836"/>
      <c r="B1476" s="1822"/>
      <c r="C1476" s="2752" t="s">
        <v>461</v>
      </c>
      <c r="D1476" s="2751" t="s">
        <v>1015</v>
      </c>
      <c r="E1476" s="2687">
        <v>4933</v>
      </c>
      <c r="F1476" s="2687">
        <v>14973</v>
      </c>
      <c r="G1476" s="2686">
        <v>3544</v>
      </c>
      <c r="H1476" s="2734">
        <f t="shared" si="108"/>
        <v>0.23669271355105856</v>
      </c>
    </row>
    <row r="1477" spans="1:8" ht="17.100000000000001" hidden="1" customHeight="1">
      <c r="A1477" s="1836"/>
      <c r="B1477" s="1822"/>
      <c r="C1477" s="2752" t="s">
        <v>1224</v>
      </c>
      <c r="D1477" s="2751" t="s">
        <v>964</v>
      </c>
      <c r="E1477" s="2687">
        <v>0</v>
      </c>
      <c r="F1477" s="2687"/>
      <c r="G1477" s="2686"/>
      <c r="H1477" s="2734" t="e">
        <f t="shared" si="108"/>
        <v>#DIV/0!</v>
      </c>
    </row>
    <row r="1478" spans="1:8" ht="17.100000000000001" customHeight="1">
      <c r="A1478" s="1836"/>
      <c r="B1478" s="1822"/>
      <c r="C1478" s="2752" t="s">
        <v>460</v>
      </c>
      <c r="D1478" s="2751" t="s">
        <v>964</v>
      </c>
      <c r="E1478" s="2687">
        <v>4670</v>
      </c>
      <c r="F1478" s="2687">
        <v>34714</v>
      </c>
      <c r="G1478" s="2686">
        <v>15629</v>
      </c>
      <c r="H1478" s="2734">
        <f t="shared" si="108"/>
        <v>0.45022181252520599</v>
      </c>
    </row>
    <row r="1479" spans="1:8" ht="17.100000000000001" customHeight="1">
      <c r="A1479" s="1822"/>
      <c r="B1479" s="1822"/>
      <c r="C1479" s="2738" t="s">
        <v>459</v>
      </c>
      <c r="D1479" s="2750" t="s">
        <v>964</v>
      </c>
      <c r="E1479" s="2687">
        <v>848</v>
      </c>
      <c r="F1479" s="2687">
        <v>6326</v>
      </c>
      <c r="G1479" s="2686">
        <v>2839</v>
      </c>
      <c r="H1479" s="2734">
        <f t="shared" si="108"/>
        <v>0.44878280113815999</v>
      </c>
    </row>
    <row r="1480" spans="1:8" ht="30" hidden="1" customHeight="1">
      <c r="A1480" s="1836"/>
      <c r="B1480" s="1822"/>
      <c r="C1480" s="1865" t="s">
        <v>1223</v>
      </c>
      <c r="D1480" s="1864" t="s">
        <v>1062</v>
      </c>
      <c r="E1480" s="1877">
        <v>0</v>
      </c>
      <c r="F1480" s="2687"/>
      <c r="G1480" s="2686"/>
      <c r="H1480" s="2734" t="e">
        <f t="shared" si="108"/>
        <v>#DIV/0!</v>
      </c>
    </row>
    <row r="1481" spans="1:8" ht="16.5" customHeight="1" thickBot="1">
      <c r="A1481" s="2393"/>
      <c r="B1481" s="2195"/>
      <c r="C1481" s="1793" t="s">
        <v>458</v>
      </c>
      <c r="D1481" s="2672" t="s">
        <v>962</v>
      </c>
      <c r="E1481" s="2636">
        <v>665</v>
      </c>
      <c r="F1481" s="2636">
        <v>4836</v>
      </c>
      <c r="G1481" s="1738">
        <v>2196</v>
      </c>
      <c r="H1481" s="2734">
        <f t="shared" si="108"/>
        <v>0.45409429280397023</v>
      </c>
    </row>
    <row r="1482" spans="1:8" ht="16.5" customHeight="1">
      <c r="A1482" s="2677"/>
      <c r="B1482" s="2677"/>
      <c r="C1482" s="2749" t="s">
        <v>457</v>
      </c>
      <c r="D1482" s="2748" t="s">
        <v>962</v>
      </c>
      <c r="E1482" s="2142">
        <v>121</v>
      </c>
      <c r="F1482" s="2142">
        <v>883</v>
      </c>
      <c r="G1482" s="2141">
        <v>399</v>
      </c>
      <c r="H1482" s="2734">
        <f t="shared" si="108"/>
        <v>0.45186862967157415</v>
      </c>
    </row>
    <row r="1483" spans="1:8" ht="18.75" hidden="1" customHeight="1">
      <c r="A1483" s="1836"/>
      <c r="B1483" s="1836"/>
      <c r="C1483" s="2740" t="s">
        <v>1222</v>
      </c>
      <c r="D1483" s="2745" t="s">
        <v>973</v>
      </c>
      <c r="E1483" s="2736">
        <v>0</v>
      </c>
      <c r="F1483" s="2736"/>
      <c r="G1483" s="2735"/>
      <c r="H1483" s="2734" t="e">
        <f t="shared" si="108"/>
        <v>#DIV/0!</v>
      </c>
    </row>
    <row r="1484" spans="1:8" ht="17.100000000000001" customHeight="1">
      <c r="A1484" s="1836"/>
      <c r="B1484" s="1836"/>
      <c r="C1484" s="2740" t="s">
        <v>456</v>
      </c>
      <c r="D1484" s="2745" t="s">
        <v>973</v>
      </c>
      <c r="E1484" s="2736">
        <v>4668</v>
      </c>
      <c r="F1484" s="2736">
        <v>52919</v>
      </c>
      <c r="G1484" s="2735">
        <v>25389</v>
      </c>
      <c r="H1484" s="2734">
        <f t="shared" si="108"/>
        <v>0.47977097072884978</v>
      </c>
    </row>
    <row r="1485" spans="1:8" ht="17.100000000000001" customHeight="1">
      <c r="A1485" s="1836"/>
      <c r="B1485" s="1836"/>
      <c r="C1485" s="2740" t="s">
        <v>455</v>
      </c>
      <c r="D1485" s="2745" t="s">
        <v>973</v>
      </c>
      <c r="E1485" s="2736">
        <v>848</v>
      </c>
      <c r="F1485" s="2736">
        <v>9609</v>
      </c>
      <c r="G1485" s="2735">
        <v>4611</v>
      </c>
      <c r="H1485" s="2734">
        <f t="shared" si="108"/>
        <v>0.47986262878551356</v>
      </c>
    </row>
    <row r="1486" spans="1:8" ht="17.100000000000001" hidden="1" customHeight="1">
      <c r="A1486" s="1836"/>
      <c r="B1486" s="1836"/>
      <c r="C1486" s="2740" t="s">
        <v>1221</v>
      </c>
      <c r="D1486" s="2746" t="s">
        <v>960</v>
      </c>
      <c r="E1486" s="2736">
        <v>0</v>
      </c>
      <c r="F1486" s="2736"/>
      <c r="G1486" s="2735"/>
      <c r="H1486" s="2734" t="e">
        <f t="shared" si="108"/>
        <v>#DIV/0!</v>
      </c>
    </row>
    <row r="1487" spans="1:8" ht="17.100000000000001" customHeight="1">
      <c r="A1487" s="1836"/>
      <c r="B1487" s="1836"/>
      <c r="C1487" s="2740" t="s">
        <v>450</v>
      </c>
      <c r="D1487" s="2745" t="s">
        <v>960</v>
      </c>
      <c r="E1487" s="2736">
        <v>85</v>
      </c>
      <c r="F1487" s="2736">
        <v>41569</v>
      </c>
      <c r="G1487" s="2735">
        <v>1571</v>
      </c>
      <c r="H1487" s="2734">
        <f t="shared" si="108"/>
        <v>3.7792585821164813E-2</v>
      </c>
    </row>
    <row r="1488" spans="1:8" ht="17.100000000000001" customHeight="1">
      <c r="A1488" s="1836"/>
      <c r="B1488" s="1836"/>
      <c r="C1488" s="2740" t="s">
        <v>449</v>
      </c>
      <c r="D1488" s="2745" t="s">
        <v>960</v>
      </c>
      <c r="E1488" s="2736">
        <v>15</v>
      </c>
      <c r="F1488" s="2736">
        <v>7722</v>
      </c>
      <c r="G1488" s="2735">
        <v>285</v>
      </c>
      <c r="H1488" s="2734">
        <f t="shared" si="108"/>
        <v>3.6907536907536904E-2</v>
      </c>
    </row>
    <row r="1489" spans="1:8" ht="17.100000000000001" hidden="1" customHeight="1">
      <c r="A1489" s="1836"/>
      <c r="B1489" s="1836"/>
      <c r="C1489" s="2740" t="s">
        <v>1220</v>
      </c>
      <c r="D1489" s="2745" t="s">
        <v>1007</v>
      </c>
      <c r="E1489" s="2736">
        <v>0</v>
      </c>
      <c r="F1489" s="2736"/>
      <c r="G1489" s="2735"/>
      <c r="H1489" s="2734" t="e">
        <f t="shared" si="108"/>
        <v>#DIV/0!</v>
      </c>
    </row>
    <row r="1490" spans="1:8" ht="17.100000000000001" customHeight="1">
      <c r="A1490" s="1836"/>
      <c r="B1490" s="1836"/>
      <c r="C1490" s="2740" t="s">
        <v>471</v>
      </c>
      <c r="D1490" s="2745" t="s">
        <v>1007</v>
      </c>
      <c r="E1490" s="2736">
        <v>11510</v>
      </c>
      <c r="F1490" s="2736">
        <v>34510</v>
      </c>
      <c r="G1490" s="2735">
        <v>9394</v>
      </c>
      <c r="H1490" s="2734">
        <f t="shared" si="108"/>
        <v>0.27221095334685597</v>
      </c>
    </row>
    <row r="1491" spans="1:8" ht="17.100000000000001" customHeight="1">
      <c r="A1491" s="1836"/>
      <c r="B1491" s="1836"/>
      <c r="C1491" s="2740" t="s">
        <v>470</v>
      </c>
      <c r="D1491" s="2745" t="s">
        <v>1007</v>
      </c>
      <c r="E1491" s="2736">
        <v>2090</v>
      </c>
      <c r="F1491" s="2736">
        <v>6269</v>
      </c>
      <c r="G1491" s="2735">
        <v>1706</v>
      </c>
      <c r="H1491" s="2734">
        <f t="shared" si="108"/>
        <v>0.27213271654171317</v>
      </c>
    </row>
    <row r="1492" spans="1:8" ht="17.100000000000001" hidden="1" customHeight="1">
      <c r="A1492" s="1836"/>
      <c r="B1492" s="1836"/>
      <c r="C1492" s="2740" t="s">
        <v>469</v>
      </c>
      <c r="D1492" s="2745" t="s">
        <v>1005</v>
      </c>
      <c r="E1492" s="2736">
        <v>0</v>
      </c>
      <c r="F1492" s="2736">
        <v>19691</v>
      </c>
      <c r="G1492" s="2735">
        <v>0</v>
      </c>
      <c r="H1492" s="2734">
        <f t="shared" si="108"/>
        <v>0</v>
      </c>
    </row>
    <row r="1493" spans="1:8" ht="17.100000000000001" hidden="1" customHeight="1">
      <c r="A1493" s="1836"/>
      <c r="B1493" s="1836"/>
      <c r="C1493" s="2740" t="s">
        <v>468</v>
      </c>
      <c r="D1493" s="2745" t="s">
        <v>1005</v>
      </c>
      <c r="E1493" s="2736">
        <v>0</v>
      </c>
      <c r="F1493" s="2736">
        <v>3576</v>
      </c>
      <c r="G1493" s="2735">
        <v>0</v>
      </c>
      <c r="H1493" s="2734">
        <f t="shared" si="108"/>
        <v>0</v>
      </c>
    </row>
    <row r="1494" spans="1:8" ht="17.100000000000001" customHeight="1">
      <c r="A1494" s="1836"/>
      <c r="B1494" s="1836"/>
      <c r="C1494" s="2740" t="s">
        <v>448</v>
      </c>
      <c r="D1494" s="2745" t="s">
        <v>1003</v>
      </c>
      <c r="E1494" s="2736">
        <v>0</v>
      </c>
      <c r="F1494" s="2736">
        <v>1016</v>
      </c>
      <c r="G1494" s="2735">
        <v>422</v>
      </c>
      <c r="H1494" s="2734">
        <f t="shared" si="108"/>
        <v>0.4153543307086614</v>
      </c>
    </row>
    <row r="1495" spans="1:8" ht="17.100000000000001" customHeight="1">
      <c r="A1495" s="1836"/>
      <c r="B1495" s="1836"/>
      <c r="C1495" s="2740" t="s">
        <v>447</v>
      </c>
      <c r="D1495" s="2745" t="s">
        <v>1003</v>
      </c>
      <c r="E1495" s="2736">
        <v>0</v>
      </c>
      <c r="F1495" s="2736">
        <v>184</v>
      </c>
      <c r="G1495" s="2735">
        <v>78</v>
      </c>
      <c r="H1495" s="2734">
        <f t="shared" si="108"/>
        <v>0.42391304347826086</v>
      </c>
    </row>
    <row r="1496" spans="1:8" ht="17.100000000000001" hidden="1" customHeight="1">
      <c r="A1496" s="1836"/>
      <c r="B1496" s="1836"/>
      <c r="C1496" s="2740" t="s">
        <v>1219</v>
      </c>
      <c r="D1496" s="2745" t="s">
        <v>958</v>
      </c>
      <c r="E1496" s="2736">
        <v>0</v>
      </c>
      <c r="F1496" s="2736"/>
      <c r="G1496" s="2735"/>
      <c r="H1496" s="2734" t="e">
        <f t="shared" si="108"/>
        <v>#DIV/0!</v>
      </c>
    </row>
    <row r="1497" spans="1:8" ht="17.100000000000001" customHeight="1">
      <c r="A1497" s="1836"/>
      <c r="B1497" s="1836"/>
      <c r="C1497" s="2740" t="s">
        <v>446</v>
      </c>
      <c r="D1497" s="2745" t="s">
        <v>958</v>
      </c>
      <c r="E1497" s="2736">
        <v>86</v>
      </c>
      <c r="F1497" s="2736">
        <v>4422</v>
      </c>
      <c r="G1497" s="2735">
        <v>914</v>
      </c>
      <c r="H1497" s="2734">
        <f t="shared" si="108"/>
        <v>0.20669380370872908</v>
      </c>
    </row>
    <row r="1498" spans="1:8" ht="17.100000000000001" customHeight="1">
      <c r="A1498" s="1836"/>
      <c r="B1498" s="1836"/>
      <c r="C1498" s="2740" t="s">
        <v>445</v>
      </c>
      <c r="D1498" s="2745" t="s">
        <v>958</v>
      </c>
      <c r="E1498" s="2736">
        <v>16</v>
      </c>
      <c r="F1498" s="2736">
        <v>804</v>
      </c>
      <c r="G1498" s="2735">
        <v>166</v>
      </c>
      <c r="H1498" s="2734">
        <f t="shared" si="108"/>
        <v>0.20646766169154229</v>
      </c>
    </row>
    <row r="1499" spans="1:8" ht="27.75" hidden="1" customHeight="1">
      <c r="A1499" s="1836"/>
      <c r="B1499" s="1836"/>
      <c r="C1499" s="2740" t="s">
        <v>1035</v>
      </c>
      <c r="D1499" s="2745" t="s">
        <v>1034</v>
      </c>
      <c r="E1499" s="2736">
        <v>0</v>
      </c>
      <c r="F1499" s="2736"/>
      <c r="G1499" s="2735"/>
      <c r="H1499" s="2734" t="e">
        <f t="shared" si="108"/>
        <v>#DIV/0!</v>
      </c>
    </row>
    <row r="1500" spans="1:8" ht="25.5" hidden="1">
      <c r="A1500" s="1836"/>
      <c r="B1500" s="1836"/>
      <c r="C1500" s="2740" t="s">
        <v>1218</v>
      </c>
      <c r="D1500" s="2745" t="s">
        <v>1216</v>
      </c>
      <c r="E1500" s="2736">
        <v>0</v>
      </c>
      <c r="F1500" s="2736"/>
      <c r="G1500" s="2735"/>
      <c r="H1500" s="2734" t="e">
        <f t="shared" si="108"/>
        <v>#DIV/0!</v>
      </c>
    </row>
    <row r="1501" spans="1:8" ht="30.75" hidden="1" customHeight="1">
      <c r="A1501" s="1836"/>
      <c r="B1501" s="1836"/>
      <c r="C1501" s="2740" t="s">
        <v>1217</v>
      </c>
      <c r="D1501" s="2745" t="s">
        <v>1216</v>
      </c>
      <c r="E1501" s="2736">
        <v>0</v>
      </c>
      <c r="F1501" s="2736"/>
      <c r="G1501" s="2735"/>
      <c r="H1501" s="2734" t="e">
        <f t="shared" si="108"/>
        <v>#DIV/0!</v>
      </c>
    </row>
    <row r="1502" spans="1:8" ht="16.5" hidden="1" customHeight="1">
      <c r="A1502" s="1836"/>
      <c r="B1502" s="1836"/>
      <c r="C1502" s="2740" t="s">
        <v>1215</v>
      </c>
      <c r="D1502" s="2745" t="s">
        <v>1214</v>
      </c>
      <c r="E1502" s="2736">
        <v>0</v>
      </c>
      <c r="F1502" s="2736"/>
      <c r="G1502" s="2735"/>
      <c r="H1502" s="2734" t="e">
        <f t="shared" si="108"/>
        <v>#DIV/0!</v>
      </c>
    </row>
    <row r="1503" spans="1:8" ht="17.100000000000001" customHeight="1">
      <c r="A1503" s="1836"/>
      <c r="B1503" s="1836"/>
      <c r="C1503" s="2740" t="s">
        <v>444</v>
      </c>
      <c r="D1503" s="2745" t="s">
        <v>1214</v>
      </c>
      <c r="E1503" s="2736">
        <v>0</v>
      </c>
      <c r="F1503" s="2736">
        <v>508</v>
      </c>
      <c r="G1503" s="2747">
        <v>212</v>
      </c>
      <c r="H1503" s="2734">
        <f t="shared" si="108"/>
        <v>0.41732283464566927</v>
      </c>
    </row>
    <row r="1504" spans="1:8" ht="17.100000000000001" customHeight="1">
      <c r="A1504" s="1836"/>
      <c r="B1504" s="1836"/>
      <c r="C1504" s="2740" t="s">
        <v>443</v>
      </c>
      <c r="D1504" s="2745" t="s">
        <v>1214</v>
      </c>
      <c r="E1504" s="2736">
        <v>0</v>
      </c>
      <c r="F1504" s="2736">
        <v>92</v>
      </c>
      <c r="G1504" s="2747">
        <v>38</v>
      </c>
      <c r="H1504" s="2734">
        <f t="shared" si="108"/>
        <v>0.41304347826086957</v>
      </c>
    </row>
    <row r="1505" spans="1:8" ht="17.100000000000001" hidden="1" customHeight="1">
      <c r="A1505" s="1836"/>
      <c r="B1505" s="1836"/>
      <c r="C1505" s="2744" t="s">
        <v>1213</v>
      </c>
      <c r="D1505" s="2746" t="s">
        <v>1119</v>
      </c>
      <c r="E1505" s="2736">
        <v>0</v>
      </c>
      <c r="F1505" s="2736"/>
      <c r="G1505" s="2735"/>
      <c r="H1505" s="2734" t="e">
        <f t="shared" si="108"/>
        <v>#DIV/0!</v>
      </c>
    </row>
    <row r="1506" spans="1:8" ht="17.100000000000001" hidden="1" customHeight="1">
      <c r="A1506" s="1836"/>
      <c r="B1506" s="1836"/>
      <c r="C1506" s="2744" t="s">
        <v>570</v>
      </c>
      <c r="D1506" s="2745" t="s">
        <v>1119</v>
      </c>
      <c r="E1506" s="2736">
        <v>0</v>
      </c>
      <c r="F1506" s="2736"/>
      <c r="G1506" s="2735"/>
      <c r="H1506" s="2734" t="e">
        <f t="shared" si="108"/>
        <v>#DIV/0!</v>
      </c>
    </row>
    <row r="1507" spans="1:8" ht="17.100000000000001" hidden="1" customHeight="1">
      <c r="A1507" s="1836"/>
      <c r="B1507" s="1836"/>
      <c r="C1507" s="2744" t="s">
        <v>1212</v>
      </c>
      <c r="D1507" s="2743" t="s">
        <v>991</v>
      </c>
      <c r="E1507" s="2736">
        <v>0</v>
      </c>
      <c r="F1507" s="2736"/>
      <c r="G1507" s="2735"/>
      <c r="H1507" s="2734" t="e">
        <f t="shared" si="108"/>
        <v>#DIV/0!</v>
      </c>
    </row>
    <row r="1508" spans="1:8" ht="17.100000000000001" hidden="1" customHeight="1">
      <c r="A1508" s="1836"/>
      <c r="B1508" s="1836"/>
      <c r="C1508" s="2738" t="s">
        <v>467</v>
      </c>
      <c r="D1508" s="2742" t="s">
        <v>991</v>
      </c>
      <c r="E1508" s="2736">
        <v>1593</v>
      </c>
      <c r="F1508" s="2736">
        <v>8395</v>
      </c>
      <c r="G1508" s="2735">
        <v>0</v>
      </c>
      <c r="H1508" s="2734">
        <f t="shared" si="108"/>
        <v>0</v>
      </c>
    </row>
    <row r="1509" spans="1:8" ht="17.100000000000001" hidden="1" customHeight="1">
      <c r="A1509" s="1822"/>
      <c r="B1509" s="1822"/>
      <c r="C1509" s="2709" t="s">
        <v>466</v>
      </c>
      <c r="D1509" s="2741" t="s">
        <v>991</v>
      </c>
      <c r="E1509" s="2500">
        <v>290</v>
      </c>
      <c r="F1509" s="2500">
        <v>1526</v>
      </c>
      <c r="G1509" s="1802">
        <v>0</v>
      </c>
      <c r="H1509" s="2503">
        <f t="shared" si="108"/>
        <v>0</v>
      </c>
    </row>
    <row r="1510" spans="1:8" ht="16.5" customHeight="1">
      <c r="A1510" s="1836"/>
      <c r="B1510" s="1836"/>
      <c r="C1510" s="2740" t="s">
        <v>454</v>
      </c>
      <c r="D1510" s="2739" t="s">
        <v>1011</v>
      </c>
      <c r="E1510" s="2736">
        <v>408</v>
      </c>
      <c r="F1510" s="2736">
        <v>5129</v>
      </c>
      <c r="G1510" s="2735">
        <v>1088</v>
      </c>
      <c r="H1510" s="2734">
        <f t="shared" si="108"/>
        <v>0.21212712029635405</v>
      </c>
    </row>
    <row r="1511" spans="1:8" ht="16.5" customHeight="1">
      <c r="A1511" s="1836"/>
      <c r="B1511" s="1836"/>
      <c r="C1511" s="2738" t="s">
        <v>453</v>
      </c>
      <c r="D1511" s="2737" t="s">
        <v>1011</v>
      </c>
      <c r="E1511" s="2736">
        <v>74</v>
      </c>
      <c r="F1511" s="2736">
        <v>933</v>
      </c>
      <c r="G1511" s="2735">
        <v>197</v>
      </c>
      <c r="H1511" s="2734">
        <f t="shared" si="108"/>
        <v>0.21114683815648447</v>
      </c>
    </row>
    <row r="1512" spans="1:8" ht="16.5" customHeight="1">
      <c r="A1512" s="1822"/>
      <c r="B1512" s="1822"/>
      <c r="C1512" s="2733" t="s">
        <v>452</v>
      </c>
      <c r="D1512" s="2501" t="s">
        <v>1106</v>
      </c>
      <c r="E1512" s="2500">
        <v>0</v>
      </c>
      <c r="F1512" s="2500">
        <v>108909</v>
      </c>
      <c r="G1512" s="1802">
        <v>46927</v>
      </c>
      <c r="H1512" s="2503">
        <f t="shared" si="108"/>
        <v>0.43088266350806637</v>
      </c>
    </row>
    <row r="1513" spans="1:8" ht="16.5" customHeight="1">
      <c r="A1513" s="1836"/>
      <c r="B1513" s="1836"/>
      <c r="C1513" s="2732" t="s">
        <v>451</v>
      </c>
      <c r="D1513" s="2666" t="s">
        <v>1106</v>
      </c>
      <c r="E1513" s="2687">
        <v>0</v>
      </c>
      <c r="F1513" s="2687">
        <v>19911</v>
      </c>
      <c r="G1513" s="2686">
        <v>8523</v>
      </c>
      <c r="H1513" s="2685">
        <f t="shared" si="108"/>
        <v>0.42805484405604943</v>
      </c>
    </row>
    <row r="1514" spans="1:8">
      <c r="A1514" s="1836"/>
      <c r="B1514" s="1836"/>
      <c r="C1514" s="2730"/>
      <c r="D1514" s="2731"/>
      <c r="E1514" s="2730"/>
      <c r="F1514" s="2687"/>
      <c r="G1514" s="2686"/>
      <c r="H1514" s="2685"/>
    </row>
    <row r="1515" spans="1:8" ht="17.100000000000001" customHeight="1">
      <c r="A1515" s="1836"/>
      <c r="B1515" s="1836"/>
      <c r="C1515" s="4377" t="s">
        <v>941</v>
      </c>
      <c r="D1515" s="4378"/>
      <c r="E1515" s="2729">
        <f>SUM(E1516)</f>
        <v>39710</v>
      </c>
      <c r="F1515" s="2729">
        <f>SUM(F1516)</f>
        <v>39710</v>
      </c>
      <c r="G1515" s="2728">
        <f>SUM(G1516)</f>
        <v>48000</v>
      </c>
      <c r="H1515" s="2727">
        <f t="shared" ref="H1515:H1536" si="109">G1515/F1515</f>
        <v>1.2087635356333417</v>
      </c>
    </row>
    <row r="1516" spans="1:8" ht="17.100000000000001" customHeight="1">
      <c r="A1516" s="1836"/>
      <c r="B1516" s="1836"/>
      <c r="C1516" s="4365" t="s">
        <v>940</v>
      </c>
      <c r="D1516" s="4366"/>
      <c r="E1516" s="2500">
        <f>SUM(E1518)</f>
        <v>39710</v>
      </c>
      <c r="F1516" s="2500">
        <f>SUM(F1518)</f>
        <v>39710</v>
      </c>
      <c r="G1516" s="1802">
        <f>SUM(G1518)</f>
        <v>48000</v>
      </c>
      <c r="H1516" s="2685">
        <f t="shared" si="109"/>
        <v>1.2087635356333417</v>
      </c>
    </row>
    <row r="1517" spans="1:8" ht="17.100000000000001" hidden="1" customHeight="1">
      <c r="A1517" s="1836"/>
      <c r="B1517" s="1836"/>
      <c r="C1517" s="2674" t="s">
        <v>546</v>
      </c>
      <c r="D1517" s="2726" t="s">
        <v>1023</v>
      </c>
      <c r="E1517" s="2500">
        <v>0</v>
      </c>
      <c r="F1517" s="2687"/>
      <c r="G1517" s="2686"/>
      <c r="H1517" s="2685" t="e">
        <f t="shared" si="109"/>
        <v>#DIV/0!</v>
      </c>
    </row>
    <row r="1518" spans="1:8" ht="17.100000000000001" customHeight="1" thickBot="1">
      <c r="A1518" s="1836"/>
      <c r="B1518" s="1836"/>
      <c r="C1518" s="2725" t="s">
        <v>553</v>
      </c>
      <c r="D1518" s="2672" t="s">
        <v>1072</v>
      </c>
      <c r="E1518" s="1873">
        <v>39710</v>
      </c>
      <c r="F1518" s="2687">
        <v>39710</v>
      </c>
      <c r="G1518" s="2686">
        <v>48000</v>
      </c>
      <c r="H1518" s="2685">
        <f t="shared" si="109"/>
        <v>1.2087635356333417</v>
      </c>
    </row>
    <row r="1519" spans="1:8" ht="17.100000000000001" hidden="1" customHeight="1" thickBot="1">
      <c r="A1519" s="1836"/>
      <c r="B1519" s="1822"/>
      <c r="C1519" s="2528" t="s">
        <v>504</v>
      </c>
      <c r="D1519" s="2724" t="s">
        <v>1072</v>
      </c>
      <c r="E1519" s="2526">
        <v>0</v>
      </c>
      <c r="F1519" s="2682"/>
      <c r="G1519" s="2681"/>
      <c r="H1519" s="2718" t="e">
        <f t="shared" si="109"/>
        <v>#DIV/0!</v>
      </c>
    </row>
    <row r="1520" spans="1:8" ht="17.100000000000001" hidden="1" customHeight="1" thickBot="1">
      <c r="A1520" s="1836"/>
      <c r="B1520" s="1822"/>
      <c r="C1520" s="2723" t="s">
        <v>569</v>
      </c>
      <c r="D1520" s="2722" t="s">
        <v>1072</v>
      </c>
      <c r="E1520" s="2526">
        <v>0</v>
      </c>
      <c r="F1520" s="2682"/>
      <c r="G1520" s="2681"/>
      <c r="H1520" s="2718" t="e">
        <f t="shared" si="109"/>
        <v>#DIV/0!</v>
      </c>
    </row>
    <row r="1521" spans="1:8" ht="17.100000000000001" hidden="1" customHeight="1" thickBot="1">
      <c r="A1521" s="1836"/>
      <c r="B1521" s="1822"/>
      <c r="C1521" s="2002"/>
      <c r="D1521" s="2001"/>
      <c r="E1521" s="2000"/>
      <c r="F1521" s="2682"/>
      <c r="G1521" s="2681"/>
      <c r="H1521" s="2718" t="e">
        <f t="shared" si="109"/>
        <v>#DIV/0!</v>
      </c>
    </row>
    <row r="1522" spans="1:8" ht="17.100000000000001" hidden="1" customHeight="1" thickBot="1">
      <c r="A1522" s="1836"/>
      <c r="B1522" s="1822"/>
      <c r="C1522" s="4379" t="s">
        <v>1024</v>
      </c>
      <c r="D1522" s="4380"/>
      <c r="E1522" s="2721">
        <v>0</v>
      </c>
      <c r="F1522" s="2682"/>
      <c r="G1522" s="2681"/>
      <c r="H1522" s="2718" t="e">
        <f t="shared" si="109"/>
        <v>#DIV/0!</v>
      </c>
    </row>
    <row r="1523" spans="1:8" ht="17.100000000000001" hidden="1" customHeight="1" thickBot="1">
      <c r="A1523" s="1836"/>
      <c r="B1523" s="1822"/>
      <c r="C1523" s="2720" t="s">
        <v>504</v>
      </c>
      <c r="D1523" s="2719" t="s">
        <v>1072</v>
      </c>
      <c r="E1523" s="2682">
        <v>0</v>
      </c>
      <c r="F1523" s="2682"/>
      <c r="G1523" s="2681"/>
      <c r="H1523" s="2718" t="e">
        <f t="shared" si="109"/>
        <v>#DIV/0!</v>
      </c>
    </row>
    <row r="1524" spans="1:8" ht="17.100000000000001" hidden="1" customHeight="1" thickBot="1">
      <c r="A1524" s="1836"/>
      <c r="B1524" s="1822"/>
      <c r="C1524" s="2717" t="s">
        <v>569</v>
      </c>
      <c r="D1524" s="2001" t="s">
        <v>1072</v>
      </c>
      <c r="E1524" s="2682">
        <v>0</v>
      </c>
      <c r="F1524" s="2682"/>
      <c r="G1524" s="2681"/>
      <c r="H1524" s="2680" t="e">
        <f t="shared" si="109"/>
        <v>#DIV/0!</v>
      </c>
    </row>
    <row r="1525" spans="1:8" ht="17.100000000000001" customHeight="1" thickBot="1">
      <c r="A1525" s="1836"/>
      <c r="B1525" s="1768" t="s">
        <v>1211</v>
      </c>
      <c r="C1525" s="1839"/>
      <c r="D1525" s="1838" t="s">
        <v>291</v>
      </c>
      <c r="E1525" s="1818">
        <f>SUM(E1526)</f>
        <v>11760834</v>
      </c>
      <c r="F1525" s="2716">
        <f>SUM(F1526,F1607)</f>
        <v>12122656</v>
      </c>
      <c r="G1525" s="1817">
        <f>SUM(G1526,G1607)</f>
        <v>11041358</v>
      </c>
      <c r="H1525" s="1763">
        <f t="shared" si="109"/>
        <v>0.91080354008230535</v>
      </c>
    </row>
    <row r="1526" spans="1:8" ht="17.100000000000001" customHeight="1">
      <c r="A1526" s="1836"/>
      <c r="B1526" s="1831"/>
      <c r="C1526" s="4296" t="s">
        <v>944</v>
      </c>
      <c r="D1526" s="4296"/>
      <c r="E1526" s="2538">
        <f>SUM(E1527,E1557,E1594)</f>
        <v>11760834</v>
      </c>
      <c r="F1526" s="2538">
        <f>SUM(F1527,F1557,F1594)</f>
        <v>12122656</v>
      </c>
      <c r="G1526" s="1761">
        <f>SUM(G1527,G1557,G1594)</f>
        <v>11014478</v>
      </c>
      <c r="H1526" s="2537">
        <f t="shared" si="109"/>
        <v>0.90858620421135439</v>
      </c>
    </row>
    <row r="1527" spans="1:8" ht="17.100000000000001" customHeight="1">
      <c r="A1527" s="1836"/>
      <c r="B1527" s="1831"/>
      <c r="C1527" s="4367" t="s">
        <v>967</v>
      </c>
      <c r="D1527" s="4367"/>
      <c r="E1527" s="2687">
        <f>SUM(E1528,E1538)</f>
        <v>11744638</v>
      </c>
      <c r="F1527" s="2687">
        <f>SUM(F1528,F1538)</f>
        <v>12060863</v>
      </c>
      <c r="G1527" s="2686">
        <f>SUM(G1528,G1538)</f>
        <v>10998282</v>
      </c>
      <c r="H1527" s="2685">
        <f t="shared" si="109"/>
        <v>0.91189842716893477</v>
      </c>
    </row>
    <row r="1528" spans="1:8" ht="17.100000000000001" customHeight="1">
      <c r="A1528" s="1836"/>
      <c r="B1528" s="1831"/>
      <c r="C1528" s="4359" t="s">
        <v>966</v>
      </c>
      <c r="D1528" s="4359"/>
      <c r="E1528" s="2694">
        <f>SUM(E1529:E1536)</f>
        <v>8757294</v>
      </c>
      <c r="F1528" s="2694">
        <f>SUM(F1529:F1536)</f>
        <v>8779996</v>
      </c>
      <c r="G1528" s="2715">
        <f>SUM(G1529:G1536)</f>
        <v>7346668</v>
      </c>
      <c r="H1528" s="2711">
        <f t="shared" si="109"/>
        <v>0.8367507228932678</v>
      </c>
    </row>
    <row r="1529" spans="1:8" ht="17.100000000000001" hidden="1" customHeight="1">
      <c r="A1529" s="1836"/>
      <c r="B1529" s="1831"/>
      <c r="C1529" s="2665" t="s">
        <v>1016</v>
      </c>
      <c r="D1529" s="2666" t="s">
        <v>1015</v>
      </c>
      <c r="E1529" s="2687">
        <v>1340105</v>
      </c>
      <c r="F1529" s="2687">
        <v>1340105</v>
      </c>
      <c r="G1529" s="2686">
        <v>0</v>
      </c>
      <c r="H1529" s="2685">
        <f t="shared" si="109"/>
        <v>0</v>
      </c>
    </row>
    <row r="1530" spans="1:8" ht="17.100000000000001" hidden="1" customHeight="1">
      <c r="A1530" s="1836"/>
      <c r="B1530" s="1831"/>
      <c r="C1530" s="2665" t="s">
        <v>1014</v>
      </c>
      <c r="D1530" s="2666" t="s">
        <v>1013</v>
      </c>
      <c r="E1530" s="2687">
        <v>96286</v>
      </c>
      <c r="F1530" s="2687">
        <v>98482</v>
      </c>
      <c r="G1530" s="2686">
        <v>0</v>
      </c>
      <c r="H1530" s="2685">
        <f t="shared" si="109"/>
        <v>0</v>
      </c>
    </row>
    <row r="1531" spans="1:8" ht="17.100000000000001" customHeight="1">
      <c r="A1531" s="1836"/>
      <c r="B1531" s="1831"/>
      <c r="C1531" s="2627" t="s">
        <v>965</v>
      </c>
      <c r="D1531" s="2693" t="s">
        <v>964</v>
      </c>
      <c r="E1531" s="2687">
        <v>1259727</v>
      </c>
      <c r="F1531" s="2687">
        <v>1260329</v>
      </c>
      <c r="G1531" s="2686">
        <v>1009915</v>
      </c>
      <c r="H1531" s="2685">
        <f t="shared" si="109"/>
        <v>0.80131061016607563</v>
      </c>
    </row>
    <row r="1532" spans="1:8" ht="16.5" customHeight="1">
      <c r="A1532" s="1836"/>
      <c r="B1532" s="1831"/>
      <c r="C1532" s="2699" t="s">
        <v>963</v>
      </c>
      <c r="D1532" s="2688" t="s">
        <v>962</v>
      </c>
      <c r="E1532" s="2687">
        <v>143923</v>
      </c>
      <c r="F1532" s="2687">
        <v>144009</v>
      </c>
      <c r="G1532" s="2686">
        <v>143937</v>
      </c>
      <c r="H1532" s="2685">
        <f t="shared" si="109"/>
        <v>0.99950003124804698</v>
      </c>
    </row>
    <row r="1533" spans="1:8" ht="17.100000000000001" customHeight="1">
      <c r="A1533" s="1836"/>
      <c r="B1533" s="1831"/>
      <c r="C1533" s="2699" t="s">
        <v>974</v>
      </c>
      <c r="D1533" s="2688" t="s">
        <v>973</v>
      </c>
      <c r="E1533" s="2687">
        <v>17000</v>
      </c>
      <c r="F1533" s="2687">
        <v>17000</v>
      </c>
      <c r="G1533" s="2686">
        <v>20000</v>
      </c>
      <c r="H1533" s="2685">
        <f t="shared" si="109"/>
        <v>1.1764705882352942</v>
      </c>
    </row>
    <row r="1534" spans="1:8" ht="17.100000000000001" customHeight="1">
      <c r="A1534" s="1836"/>
      <c r="B1534" s="1831"/>
      <c r="C1534" s="2699" t="s">
        <v>1012</v>
      </c>
      <c r="D1534" s="2639" t="s">
        <v>1011</v>
      </c>
      <c r="E1534" s="2687">
        <v>23367</v>
      </c>
      <c r="F1534" s="2687">
        <v>23367</v>
      </c>
      <c r="G1534" s="2686">
        <v>21000</v>
      </c>
      <c r="H1534" s="2685">
        <f t="shared" si="109"/>
        <v>0.89870329952497108</v>
      </c>
    </row>
    <row r="1535" spans="1:8" ht="17.100000000000001" customHeight="1">
      <c r="A1535" s="1836"/>
      <c r="B1535" s="1831"/>
      <c r="C1535" s="2665" t="s">
        <v>1107</v>
      </c>
      <c r="D1535" s="2666" t="s">
        <v>1106</v>
      </c>
      <c r="E1535" s="2687">
        <v>5426176</v>
      </c>
      <c r="F1535" s="2687">
        <v>5460430</v>
      </c>
      <c r="G1535" s="2686">
        <v>5691561</v>
      </c>
      <c r="H1535" s="2685">
        <f t="shared" si="109"/>
        <v>1.0423283514301986</v>
      </c>
    </row>
    <row r="1536" spans="1:8" ht="17.100000000000001" customHeight="1">
      <c r="A1536" s="1836"/>
      <c r="B1536" s="1831"/>
      <c r="C1536" s="2665" t="s">
        <v>1105</v>
      </c>
      <c r="D1536" s="2666" t="s">
        <v>1104</v>
      </c>
      <c r="E1536" s="2687">
        <v>450710</v>
      </c>
      <c r="F1536" s="2687">
        <v>436274</v>
      </c>
      <c r="G1536" s="2686">
        <v>460255</v>
      </c>
      <c r="H1536" s="2685">
        <f t="shared" si="109"/>
        <v>1.0549677496252354</v>
      </c>
    </row>
    <row r="1537" spans="1:8" ht="17.100000000000001" customHeight="1">
      <c r="A1537" s="1836"/>
      <c r="B1537" s="1831"/>
      <c r="C1537" s="2714"/>
      <c r="D1537" s="2714"/>
      <c r="E1537" s="2713"/>
      <c r="F1537" s="2687"/>
      <c r="G1537" s="2686"/>
      <c r="H1537" s="2685"/>
    </row>
    <row r="1538" spans="1:8" ht="17.100000000000001" customHeight="1">
      <c r="A1538" s="1836"/>
      <c r="B1538" s="1831"/>
      <c r="C1538" s="4360" t="s">
        <v>961</v>
      </c>
      <c r="D1538" s="4360"/>
      <c r="E1538" s="2691">
        <f>SUM(E1539:E1555)</f>
        <v>2987344</v>
      </c>
      <c r="F1538" s="2691">
        <f>SUM(F1539:F1555)</f>
        <v>3280867</v>
      </c>
      <c r="G1538" s="2712">
        <f>SUM(G1539:G1555)</f>
        <v>3651614</v>
      </c>
      <c r="H1538" s="2711">
        <f t="shared" ref="H1538:H1546" si="110">G1538/F1538</f>
        <v>1.113002752016464</v>
      </c>
    </row>
    <row r="1539" spans="1:8" ht="17.100000000000001" hidden="1" customHeight="1">
      <c r="A1539" s="1836"/>
      <c r="B1539" s="1831"/>
      <c r="C1539" s="2502" t="s">
        <v>1048</v>
      </c>
      <c r="D1539" s="2501" t="s">
        <v>1047</v>
      </c>
      <c r="E1539" s="2500">
        <v>51780</v>
      </c>
      <c r="F1539" s="2687">
        <v>47450</v>
      </c>
      <c r="G1539" s="2686">
        <v>0</v>
      </c>
      <c r="H1539" s="2685">
        <f t="shared" si="110"/>
        <v>0</v>
      </c>
    </row>
    <row r="1540" spans="1:8" ht="17.100000000000001" customHeight="1">
      <c r="A1540" s="1836"/>
      <c r="B1540" s="1831"/>
      <c r="C1540" s="2665" t="s">
        <v>613</v>
      </c>
      <c r="D1540" s="2666" t="s">
        <v>960</v>
      </c>
      <c r="E1540" s="2500">
        <v>512980</v>
      </c>
      <c r="F1540" s="2687">
        <v>521880</v>
      </c>
      <c r="G1540" s="2686">
        <v>653920</v>
      </c>
      <c r="H1540" s="2685">
        <f t="shared" si="110"/>
        <v>1.2530083544109758</v>
      </c>
    </row>
    <row r="1541" spans="1:8" ht="17.100000000000001" hidden="1" customHeight="1">
      <c r="A1541" s="1836"/>
      <c r="B1541" s="1831"/>
      <c r="C1541" s="2665" t="s">
        <v>1008</v>
      </c>
      <c r="D1541" s="2666" t="s">
        <v>1007</v>
      </c>
      <c r="E1541" s="2500">
        <v>1000</v>
      </c>
      <c r="F1541" s="2687">
        <v>1000</v>
      </c>
      <c r="G1541" s="2686">
        <v>0</v>
      </c>
      <c r="H1541" s="2685">
        <f t="shared" si="110"/>
        <v>0</v>
      </c>
    </row>
    <row r="1542" spans="1:8" ht="17.100000000000001" customHeight="1">
      <c r="A1542" s="1836"/>
      <c r="B1542" s="1831"/>
      <c r="C1542" s="2710" t="s">
        <v>1006</v>
      </c>
      <c r="D1542" s="2666" t="s">
        <v>1005</v>
      </c>
      <c r="E1542" s="2500">
        <v>171000</v>
      </c>
      <c r="F1542" s="2687">
        <v>171000</v>
      </c>
      <c r="G1542" s="2686">
        <v>207000</v>
      </c>
      <c r="H1542" s="2685">
        <f t="shared" si="110"/>
        <v>1.2105263157894737</v>
      </c>
    </row>
    <row r="1543" spans="1:8" ht="17.100000000000001" customHeight="1" thickBot="1">
      <c r="A1543" s="1822"/>
      <c r="B1543" s="1831"/>
      <c r="C1543" s="2664" t="s">
        <v>1004</v>
      </c>
      <c r="D1543" s="2708" t="s">
        <v>1003</v>
      </c>
      <c r="E1543" s="2500">
        <v>590837</v>
      </c>
      <c r="F1543" s="2687">
        <v>902447</v>
      </c>
      <c r="G1543" s="2686">
        <v>658347</v>
      </c>
      <c r="H1543" s="2617">
        <f t="shared" si="110"/>
        <v>0.72951320132927477</v>
      </c>
    </row>
    <row r="1544" spans="1:8" ht="17.100000000000001" customHeight="1">
      <c r="A1544" s="1836"/>
      <c r="B1544" s="1831"/>
      <c r="C1544" s="2502" t="s">
        <v>1002</v>
      </c>
      <c r="D1544" s="2501" t="s">
        <v>1001</v>
      </c>
      <c r="E1544" s="2500">
        <v>273500</v>
      </c>
      <c r="F1544" s="2500">
        <v>273500</v>
      </c>
      <c r="G1544" s="1802">
        <v>623460</v>
      </c>
      <c r="H1544" s="2099">
        <f t="shared" si="110"/>
        <v>2.2795612431444243</v>
      </c>
    </row>
    <row r="1545" spans="1:8" ht="17.100000000000001" customHeight="1">
      <c r="A1545" s="1836"/>
      <c r="B1545" s="1831"/>
      <c r="C1545" s="2665" t="s">
        <v>1000</v>
      </c>
      <c r="D1545" s="2666" t="s">
        <v>999</v>
      </c>
      <c r="E1545" s="2500">
        <v>11210</v>
      </c>
      <c r="F1545" s="2687">
        <v>9310</v>
      </c>
      <c r="G1545" s="2686">
        <v>7200</v>
      </c>
      <c r="H1545" s="2685">
        <f t="shared" si="110"/>
        <v>0.77336197636949522</v>
      </c>
    </row>
    <row r="1546" spans="1:8" ht="18.75" customHeight="1">
      <c r="A1546" s="1822"/>
      <c r="B1546" s="1831"/>
      <c r="C1546" s="2664" t="s">
        <v>959</v>
      </c>
      <c r="D1546" s="2708" t="s">
        <v>958</v>
      </c>
      <c r="E1546" s="2500">
        <v>498034</v>
      </c>
      <c r="F1546" s="2687">
        <v>472399</v>
      </c>
      <c r="G1546" s="2686">
        <v>733814</v>
      </c>
      <c r="H1546" s="2685">
        <f t="shared" si="110"/>
        <v>1.5533775473699141</v>
      </c>
    </row>
    <row r="1547" spans="1:8" ht="30.75" hidden="1" customHeight="1">
      <c r="A1547" s="1836"/>
      <c r="B1547" s="1831"/>
      <c r="C1547" s="2502" t="s">
        <v>1035</v>
      </c>
      <c r="D1547" s="2501" t="s">
        <v>1034</v>
      </c>
      <c r="E1547" s="2500">
        <v>0</v>
      </c>
      <c r="F1547" s="2500"/>
      <c r="G1547" s="1999"/>
      <c r="H1547" s="2503" t="e">
        <f t="shared" ref="H1547:H1555" si="111">G1548/F1547</f>
        <v>#DIV/0!</v>
      </c>
    </row>
    <row r="1548" spans="1:8" ht="16.5" customHeight="1">
      <c r="A1548" s="1822"/>
      <c r="B1548" s="1831"/>
      <c r="C1548" s="2665" t="s">
        <v>998</v>
      </c>
      <c r="D1548" s="2666" t="s">
        <v>997</v>
      </c>
      <c r="E1548" s="2500">
        <v>101381</v>
      </c>
      <c r="F1548" s="2687">
        <v>96981</v>
      </c>
      <c r="G1548" s="1802">
        <v>99072</v>
      </c>
      <c r="H1548" s="2685">
        <f t="shared" si="111"/>
        <v>2.9904311153731142</v>
      </c>
    </row>
    <row r="1549" spans="1:8" ht="30" customHeight="1">
      <c r="A1549" s="1836"/>
      <c r="B1549" s="1831"/>
      <c r="C1549" s="2665" t="s">
        <v>994</v>
      </c>
      <c r="D1549" s="2666" t="s">
        <v>993</v>
      </c>
      <c r="E1549" s="2500">
        <v>370777</v>
      </c>
      <c r="F1549" s="2687">
        <v>370777</v>
      </c>
      <c r="G1549" s="2686">
        <v>290015</v>
      </c>
      <c r="H1549" s="2685">
        <f t="shared" si="111"/>
        <v>5.2592258958889034E-2</v>
      </c>
    </row>
    <row r="1550" spans="1:8" ht="17.100000000000001" customHeight="1">
      <c r="A1550" s="1836"/>
      <c r="B1550" s="1831"/>
      <c r="C1550" s="2627" t="s">
        <v>992</v>
      </c>
      <c r="D1550" s="2693" t="s">
        <v>991</v>
      </c>
      <c r="E1550" s="2500">
        <v>20218</v>
      </c>
      <c r="F1550" s="2687">
        <v>24218</v>
      </c>
      <c r="G1550" s="2686">
        <v>19500</v>
      </c>
      <c r="H1550" s="2685">
        <f t="shared" si="111"/>
        <v>1.3502353621273433</v>
      </c>
    </row>
    <row r="1551" spans="1:8" ht="17.100000000000001" customHeight="1">
      <c r="A1551" s="1836"/>
      <c r="B1551" s="1831"/>
      <c r="C1551" s="2699" t="s">
        <v>988</v>
      </c>
      <c r="D1551" s="2688" t="s">
        <v>987</v>
      </c>
      <c r="E1551" s="2687">
        <v>33800</v>
      </c>
      <c r="F1551" s="2687">
        <v>29300</v>
      </c>
      <c r="G1551" s="2686">
        <v>32700</v>
      </c>
      <c r="H1551" s="2685">
        <f t="shared" si="111"/>
        <v>9.661638225255972</v>
      </c>
    </row>
    <row r="1552" spans="1:8" ht="17.100000000000001" customHeight="1">
      <c r="A1552" s="1836"/>
      <c r="B1552" s="1831"/>
      <c r="C1552" s="2709" t="s">
        <v>986</v>
      </c>
      <c r="D1552" s="2501" t="s">
        <v>985</v>
      </c>
      <c r="E1552" s="2500">
        <v>314977</v>
      </c>
      <c r="F1552" s="2687">
        <v>324755</v>
      </c>
      <c r="G1552" s="2686">
        <v>283086</v>
      </c>
      <c r="H1552" s="2685">
        <f t="shared" si="111"/>
        <v>3.2332065711074505E-2</v>
      </c>
    </row>
    <row r="1553" spans="1:8" ht="17.100000000000001" customHeight="1">
      <c r="A1553" s="1822"/>
      <c r="B1553" s="1831"/>
      <c r="C1553" s="2664" t="s">
        <v>1089</v>
      </c>
      <c r="D1553" s="2708" t="s">
        <v>1092</v>
      </c>
      <c r="E1553" s="2500">
        <v>1800</v>
      </c>
      <c r="F1553" s="2687">
        <v>1800</v>
      </c>
      <c r="G1553" s="2686">
        <v>10500</v>
      </c>
      <c r="H1553" s="2685">
        <f t="shared" si="111"/>
        <v>1.1111111111111112</v>
      </c>
    </row>
    <row r="1554" spans="1:8" ht="17.100000000000001" customHeight="1">
      <c r="A1554" s="1836"/>
      <c r="B1554" s="1831"/>
      <c r="C1554" s="2502" t="s">
        <v>1158</v>
      </c>
      <c r="D1554" s="2501" t="s">
        <v>1157</v>
      </c>
      <c r="E1554" s="2500">
        <v>5000</v>
      </c>
      <c r="F1554" s="2500">
        <v>5000</v>
      </c>
      <c r="G1554" s="2686">
        <v>2000</v>
      </c>
      <c r="H1554" s="2503">
        <f t="shared" si="111"/>
        <v>6.2</v>
      </c>
    </row>
    <row r="1555" spans="1:8" ht="18" customHeight="1">
      <c r="A1555" s="1836"/>
      <c r="B1555" s="1831"/>
      <c r="C1555" s="2665" t="s">
        <v>982</v>
      </c>
      <c r="D1555" s="2666" t="s">
        <v>981</v>
      </c>
      <c r="E1555" s="2500">
        <v>29050</v>
      </c>
      <c r="F1555" s="2687">
        <v>29050</v>
      </c>
      <c r="G1555" s="1802">
        <v>31000</v>
      </c>
      <c r="H1555" s="2503">
        <f t="shared" si="111"/>
        <v>0</v>
      </c>
    </row>
    <row r="1556" spans="1:8" ht="17.100000000000001" customHeight="1">
      <c r="A1556" s="1822"/>
      <c r="B1556" s="1831"/>
      <c r="C1556" s="2706"/>
      <c r="D1556" s="2707"/>
      <c r="E1556" s="2706"/>
      <c r="F1556" s="2687"/>
      <c r="G1556" s="2686"/>
      <c r="H1556" s="2685"/>
    </row>
    <row r="1557" spans="1:8" ht="17.100000000000001" customHeight="1">
      <c r="A1557" s="1836"/>
      <c r="B1557" s="1831"/>
      <c r="C1557" s="4102" t="s">
        <v>1199</v>
      </c>
      <c r="D1557" s="4102"/>
      <c r="E1557" s="1877">
        <f>SUM(E1558)</f>
        <v>16196</v>
      </c>
      <c r="F1557" s="1877">
        <f>SUM(F1558)</f>
        <v>16196</v>
      </c>
      <c r="G1557" s="1876">
        <f>SUM(G1558)</f>
        <v>16196</v>
      </c>
      <c r="H1557" s="2685">
        <f t="shared" ref="H1557:H1592" si="112">G1557/F1557</f>
        <v>1</v>
      </c>
    </row>
    <row r="1558" spans="1:8" ht="17.100000000000001" customHeight="1" thickBot="1">
      <c r="A1558" s="2195"/>
      <c r="B1558" s="1847"/>
      <c r="C1558" s="3721" t="s">
        <v>980</v>
      </c>
      <c r="D1558" s="3722" t="s">
        <v>979</v>
      </c>
      <c r="E1558" s="3712">
        <v>16196</v>
      </c>
      <c r="F1558" s="3712">
        <v>16196</v>
      </c>
      <c r="G1558" s="1738">
        <v>16196</v>
      </c>
      <c r="H1558" s="2685">
        <f t="shared" si="112"/>
        <v>1</v>
      </c>
    </row>
    <row r="1559" spans="1:8" ht="12.75" hidden="1" customHeight="1">
      <c r="A1559" s="1836"/>
      <c r="B1559" s="1831"/>
      <c r="C1559" s="3718"/>
      <c r="D1559" s="3719"/>
      <c r="E1559" s="3720"/>
      <c r="F1559" s="2500"/>
      <c r="G1559" s="1802"/>
      <c r="H1559" s="2685" t="e">
        <f t="shared" si="112"/>
        <v>#DIV/0!</v>
      </c>
    </row>
    <row r="1560" spans="1:8" ht="12.75" hidden="1" customHeight="1">
      <c r="A1560" s="1836"/>
      <c r="B1560" s="1831"/>
      <c r="C1560" s="4371" t="s">
        <v>976</v>
      </c>
      <c r="D1560" s="4371"/>
      <c r="E1560" s="2705">
        <v>0</v>
      </c>
      <c r="F1560" s="2687"/>
      <c r="G1560" s="2686"/>
      <c r="H1560" s="2685" t="e">
        <f t="shared" si="112"/>
        <v>#DIV/0!</v>
      </c>
    </row>
    <row r="1561" spans="1:8" ht="12.75" hidden="1" customHeight="1">
      <c r="A1561" s="1836"/>
      <c r="B1561" s="1831"/>
      <c r="C1561" s="2665" t="s">
        <v>1016</v>
      </c>
      <c r="D1561" s="2666" t="s">
        <v>1015</v>
      </c>
      <c r="E1561" s="2704">
        <v>0</v>
      </c>
      <c r="F1561" s="2687"/>
      <c r="G1561" s="2686"/>
      <c r="H1561" s="2685" t="e">
        <f t="shared" si="112"/>
        <v>#DIV/0!</v>
      </c>
    </row>
    <row r="1562" spans="1:8" ht="12.75" hidden="1" customHeight="1">
      <c r="A1562" s="1836"/>
      <c r="B1562" s="1831"/>
      <c r="C1562" s="2665" t="s">
        <v>959</v>
      </c>
      <c r="D1562" s="2666" t="s">
        <v>958</v>
      </c>
      <c r="E1562" s="2704">
        <v>0</v>
      </c>
      <c r="F1562" s="2687"/>
      <c r="G1562" s="2686"/>
      <c r="H1562" s="2685" t="e">
        <f t="shared" si="112"/>
        <v>#DIV/0!</v>
      </c>
    </row>
    <row r="1563" spans="1:8" ht="12.75" hidden="1" customHeight="1">
      <c r="A1563" s="1836"/>
      <c r="B1563" s="1831"/>
      <c r="C1563" s="2665" t="s">
        <v>446</v>
      </c>
      <c r="D1563" s="2666" t="s">
        <v>958</v>
      </c>
      <c r="E1563" s="2704">
        <v>0</v>
      </c>
      <c r="F1563" s="2687"/>
      <c r="G1563" s="2686"/>
      <c r="H1563" s="2685" t="e">
        <f t="shared" si="112"/>
        <v>#DIV/0!</v>
      </c>
    </row>
    <row r="1564" spans="1:8" ht="12.75" hidden="1" customHeight="1">
      <c r="A1564" s="1836"/>
      <c r="B1564" s="1831"/>
      <c r="C1564" s="2627" t="s">
        <v>445</v>
      </c>
      <c r="D1564" s="2693" t="s">
        <v>958</v>
      </c>
      <c r="E1564" s="2704">
        <v>0</v>
      </c>
      <c r="F1564" s="2687"/>
      <c r="G1564" s="2686"/>
      <c r="H1564" s="2685" t="e">
        <f t="shared" si="112"/>
        <v>#DIV/0!</v>
      </c>
    </row>
    <row r="1565" spans="1:8" ht="12.75" hidden="1" customHeight="1">
      <c r="A1565" s="1836"/>
      <c r="B1565" s="1831"/>
      <c r="C1565" s="2703"/>
      <c r="D1565" s="2702"/>
      <c r="E1565" s="2701"/>
      <c r="F1565" s="2687"/>
      <c r="G1565" s="2686"/>
      <c r="H1565" s="2685" t="e">
        <f t="shared" si="112"/>
        <v>#DIV/0!</v>
      </c>
    </row>
    <row r="1566" spans="1:8" ht="12.75" hidden="1" customHeight="1">
      <c r="A1566" s="1836"/>
      <c r="B1566" s="1831"/>
      <c r="C1566" s="4343" t="s">
        <v>941</v>
      </c>
      <c r="D1566" s="4343"/>
      <c r="E1566" s="2700">
        <v>0</v>
      </c>
      <c r="F1566" s="2687"/>
      <c r="G1566" s="2686"/>
      <c r="H1566" s="2685" t="e">
        <f t="shared" si="112"/>
        <v>#DIV/0!</v>
      </c>
    </row>
    <row r="1567" spans="1:8" ht="15" hidden="1" customHeight="1">
      <c r="A1567" s="1836"/>
      <c r="B1567" s="1831"/>
      <c r="C1567" s="4339" t="s">
        <v>940</v>
      </c>
      <c r="D1567" s="4372"/>
      <c r="E1567" s="2500">
        <v>0</v>
      </c>
      <c r="F1567" s="2687"/>
      <c r="G1567" s="2686"/>
      <c r="H1567" s="2685" t="e">
        <f t="shared" si="112"/>
        <v>#DIV/0!</v>
      </c>
    </row>
    <row r="1568" spans="1:8" ht="12.75" hidden="1" customHeight="1">
      <c r="A1568" s="1836"/>
      <c r="B1568" s="1831"/>
      <c r="C1568" s="2698" t="s">
        <v>506</v>
      </c>
      <c r="D1568" s="2697" t="s">
        <v>1023</v>
      </c>
      <c r="E1568" s="2500">
        <v>0</v>
      </c>
      <c r="F1568" s="2687"/>
      <c r="G1568" s="2686"/>
      <c r="H1568" s="2685" t="e">
        <f t="shared" si="112"/>
        <v>#DIV/0!</v>
      </c>
    </row>
    <row r="1569" spans="1:8" ht="12.75" hidden="1" customHeight="1">
      <c r="A1569" s="1836"/>
      <c r="B1569" s="1831"/>
      <c r="C1569" s="2696" t="s">
        <v>505</v>
      </c>
      <c r="D1569" s="2695" t="s">
        <v>1023</v>
      </c>
      <c r="E1569" s="2500">
        <v>0</v>
      </c>
      <c r="F1569" s="2687"/>
      <c r="G1569" s="2686"/>
      <c r="H1569" s="2685" t="e">
        <f t="shared" si="112"/>
        <v>#DIV/0!</v>
      </c>
    </row>
    <row r="1570" spans="1:8" ht="12.75" hidden="1" customHeight="1">
      <c r="A1570" s="1836"/>
      <c r="B1570" s="1831"/>
      <c r="C1570" s="1865" t="s">
        <v>553</v>
      </c>
      <c r="D1570" s="1864" t="s">
        <v>1072</v>
      </c>
      <c r="E1570" s="2500">
        <v>0</v>
      </c>
      <c r="F1570" s="2687"/>
      <c r="G1570" s="2686"/>
      <c r="H1570" s="2685" t="e">
        <f t="shared" si="112"/>
        <v>#DIV/0!</v>
      </c>
    </row>
    <row r="1571" spans="1:8" ht="12.75" hidden="1" customHeight="1">
      <c r="A1571" s="1836"/>
      <c r="B1571" s="1831"/>
      <c r="C1571" s="2699" t="s">
        <v>504</v>
      </c>
      <c r="D1571" s="2688" t="s">
        <v>1072</v>
      </c>
      <c r="E1571" s="2500">
        <v>0</v>
      </c>
      <c r="F1571" s="2687"/>
      <c r="G1571" s="2686"/>
      <c r="H1571" s="2685" t="e">
        <f t="shared" si="112"/>
        <v>#DIV/0!</v>
      </c>
    </row>
    <row r="1572" spans="1:8" ht="12.75" hidden="1" customHeight="1">
      <c r="A1572" s="1836"/>
      <c r="B1572" s="1831"/>
      <c r="C1572" s="2699" t="s">
        <v>569</v>
      </c>
      <c r="D1572" s="2688" t="s">
        <v>1072</v>
      </c>
      <c r="E1572" s="2500">
        <v>0</v>
      </c>
      <c r="F1572" s="2687"/>
      <c r="G1572" s="2686"/>
      <c r="H1572" s="2685" t="e">
        <f t="shared" si="112"/>
        <v>#DIV/0!</v>
      </c>
    </row>
    <row r="1573" spans="1:8" ht="12.75" hidden="1" customHeight="1">
      <c r="A1573" s="1836"/>
      <c r="B1573" s="1831"/>
      <c r="C1573" s="1865"/>
      <c r="D1573" s="1864"/>
      <c r="E1573" s="1877"/>
      <c r="F1573" s="2687"/>
      <c r="G1573" s="2686"/>
      <c r="H1573" s="2685" t="e">
        <f t="shared" si="112"/>
        <v>#DIV/0!</v>
      </c>
    </row>
    <row r="1574" spans="1:8" ht="15" hidden="1" customHeight="1">
      <c r="A1574" s="1836"/>
      <c r="B1574" s="1831"/>
      <c r="C1574" s="4360" t="s">
        <v>1024</v>
      </c>
      <c r="D1574" s="4373"/>
      <c r="E1574" s="2694">
        <v>0</v>
      </c>
      <c r="F1574" s="2687"/>
      <c r="G1574" s="2686"/>
      <c r="H1574" s="2685" t="e">
        <f t="shared" si="112"/>
        <v>#DIV/0!</v>
      </c>
    </row>
    <row r="1575" spans="1:8" ht="12.75" hidden="1" customHeight="1">
      <c r="A1575" s="1836"/>
      <c r="B1575" s="1831"/>
      <c r="C1575" s="2698" t="s">
        <v>506</v>
      </c>
      <c r="D1575" s="2697" t="s">
        <v>1023</v>
      </c>
      <c r="E1575" s="2687">
        <v>0</v>
      </c>
      <c r="F1575" s="2687"/>
      <c r="G1575" s="2686"/>
      <c r="H1575" s="2685" t="e">
        <f t="shared" si="112"/>
        <v>#DIV/0!</v>
      </c>
    </row>
    <row r="1576" spans="1:8" ht="12.75" hidden="1" customHeight="1">
      <c r="A1576" s="1836"/>
      <c r="B1576" s="1831"/>
      <c r="C1576" s="2696" t="s">
        <v>505</v>
      </c>
      <c r="D1576" s="2695" t="s">
        <v>1023</v>
      </c>
      <c r="E1576" s="2687">
        <v>0</v>
      </c>
      <c r="F1576" s="2687"/>
      <c r="G1576" s="2686"/>
      <c r="H1576" s="2685" t="e">
        <f t="shared" si="112"/>
        <v>#DIV/0!</v>
      </c>
    </row>
    <row r="1577" spans="1:8" ht="12.75" hidden="1" customHeight="1">
      <c r="A1577" s="1836"/>
      <c r="B1577" s="1831"/>
      <c r="C1577" s="2502" t="s">
        <v>504</v>
      </c>
      <c r="D1577" s="2501" t="s">
        <v>1072</v>
      </c>
      <c r="E1577" s="2687">
        <v>0</v>
      </c>
      <c r="F1577" s="2687"/>
      <c r="G1577" s="2686"/>
      <c r="H1577" s="2685" t="e">
        <f t="shared" si="112"/>
        <v>#DIV/0!</v>
      </c>
    </row>
    <row r="1578" spans="1:8" ht="13.5" hidden="1" customHeight="1">
      <c r="A1578" s="1836"/>
      <c r="B1578" s="1831"/>
      <c r="C1578" s="2131" t="s">
        <v>569</v>
      </c>
      <c r="D1578" s="1864" t="s">
        <v>1072</v>
      </c>
      <c r="E1578" s="2687">
        <v>0</v>
      </c>
      <c r="F1578" s="2687"/>
      <c r="G1578" s="2686"/>
      <c r="H1578" s="2685" t="e">
        <f t="shared" si="112"/>
        <v>#DIV/0!</v>
      </c>
    </row>
    <row r="1579" spans="1:8" ht="13.5" hidden="1" customHeight="1">
      <c r="A1579" s="1836"/>
      <c r="B1579" s="1768" t="s">
        <v>1210</v>
      </c>
      <c r="C1579" s="1839"/>
      <c r="D1579" s="1838" t="s">
        <v>1209</v>
      </c>
      <c r="E1579" s="1818">
        <v>0</v>
      </c>
      <c r="F1579" s="2687"/>
      <c r="G1579" s="2686"/>
      <c r="H1579" s="2685" t="e">
        <f t="shared" si="112"/>
        <v>#DIV/0!</v>
      </c>
    </row>
    <row r="1580" spans="1:8" ht="12.75" hidden="1" customHeight="1">
      <c r="A1580" s="1836"/>
      <c r="B1580" s="1831"/>
      <c r="C1580" s="4296" t="s">
        <v>944</v>
      </c>
      <c r="D1580" s="4296"/>
      <c r="E1580" s="2538">
        <v>0</v>
      </c>
      <c r="F1580" s="2687"/>
      <c r="G1580" s="2686"/>
      <c r="H1580" s="2685" t="e">
        <f t="shared" si="112"/>
        <v>#DIV/0!</v>
      </c>
    </row>
    <row r="1581" spans="1:8" ht="12.75" hidden="1" customHeight="1">
      <c r="A1581" s="1836"/>
      <c r="B1581" s="1831"/>
      <c r="C1581" s="4367" t="s">
        <v>967</v>
      </c>
      <c r="D1581" s="4367"/>
      <c r="E1581" s="2687">
        <v>0</v>
      </c>
      <c r="F1581" s="2687"/>
      <c r="G1581" s="2686"/>
      <c r="H1581" s="2685" t="e">
        <f t="shared" si="112"/>
        <v>#DIV/0!</v>
      </c>
    </row>
    <row r="1582" spans="1:8" ht="12.75" hidden="1" customHeight="1">
      <c r="A1582" s="1836"/>
      <c r="B1582" s="1831"/>
      <c r="C1582" s="4359" t="s">
        <v>966</v>
      </c>
      <c r="D1582" s="4359"/>
      <c r="E1582" s="2694">
        <v>0</v>
      </c>
      <c r="F1582" s="2687"/>
      <c r="G1582" s="2686"/>
      <c r="H1582" s="2685" t="e">
        <f t="shared" si="112"/>
        <v>#DIV/0!</v>
      </c>
    </row>
    <row r="1583" spans="1:8" ht="12.75" hidden="1" customHeight="1">
      <c r="A1583" s="1836"/>
      <c r="B1583" s="1831"/>
      <c r="C1583" s="2665" t="s">
        <v>1016</v>
      </c>
      <c r="D1583" s="2666" t="s">
        <v>1015</v>
      </c>
      <c r="E1583" s="2687">
        <v>0</v>
      </c>
      <c r="F1583" s="2687"/>
      <c r="G1583" s="2686"/>
      <c r="H1583" s="2685" t="e">
        <f t="shared" si="112"/>
        <v>#DIV/0!</v>
      </c>
    </row>
    <row r="1584" spans="1:8" ht="12.75" hidden="1" customHeight="1">
      <c r="A1584" s="1836"/>
      <c r="B1584" s="1831"/>
      <c r="C1584" s="2627" t="s">
        <v>1014</v>
      </c>
      <c r="D1584" s="2693" t="s">
        <v>1013</v>
      </c>
      <c r="E1584" s="2687">
        <v>0</v>
      </c>
      <c r="F1584" s="2687"/>
      <c r="G1584" s="2686"/>
      <c r="H1584" s="2685" t="e">
        <f t="shared" si="112"/>
        <v>#DIV/0!</v>
      </c>
    </row>
    <row r="1585" spans="1:8" ht="12.75" hidden="1" customHeight="1">
      <c r="A1585" s="1836"/>
      <c r="B1585" s="1831"/>
      <c r="C1585" s="2627" t="s">
        <v>965</v>
      </c>
      <c r="D1585" s="2693" t="s">
        <v>964</v>
      </c>
      <c r="E1585" s="2687">
        <v>0</v>
      </c>
      <c r="F1585" s="2687"/>
      <c r="G1585" s="2686"/>
      <c r="H1585" s="2685" t="e">
        <f t="shared" si="112"/>
        <v>#DIV/0!</v>
      </c>
    </row>
    <row r="1586" spans="1:8" ht="25.5" hidden="1" customHeight="1">
      <c r="A1586" s="1836"/>
      <c r="B1586" s="1831"/>
      <c r="C1586" s="2692" t="s">
        <v>963</v>
      </c>
      <c r="D1586" s="2688" t="s">
        <v>1062</v>
      </c>
      <c r="E1586" s="2687">
        <v>0</v>
      </c>
      <c r="F1586" s="2687"/>
      <c r="G1586" s="2686"/>
      <c r="H1586" s="2685" t="e">
        <f t="shared" si="112"/>
        <v>#DIV/0!</v>
      </c>
    </row>
    <row r="1587" spans="1:8" ht="12.75" hidden="1" customHeight="1">
      <c r="A1587" s="1836"/>
      <c r="B1587" s="1831"/>
      <c r="C1587" s="2131"/>
      <c r="D1587" s="1864"/>
      <c r="E1587" s="1877"/>
      <c r="F1587" s="2687"/>
      <c r="G1587" s="2686"/>
      <c r="H1587" s="2685" t="e">
        <f t="shared" si="112"/>
        <v>#DIV/0!</v>
      </c>
    </row>
    <row r="1588" spans="1:8" ht="12.75" hidden="1" customHeight="1">
      <c r="A1588" s="1836"/>
      <c r="B1588" s="1831"/>
      <c r="C1588" s="4360" t="s">
        <v>961</v>
      </c>
      <c r="D1588" s="4360"/>
      <c r="E1588" s="2691">
        <v>0</v>
      </c>
      <c r="F1588" s="2687"/>
      <c r="G1588" s="2686"/>
      <c r="H1588" s="2685" t="e">
        <f t="shared" si="112"/>
        <v>#DIV/0!</v>
      </c>
    </row>
    <row r="1589" spans="1:8" ht="12.75" hidden="1" customHeight="1">
      <c r="A1589" s="1836"/>
      <c r="B1589" s="1831"/>
      <c r="C1589" s="2502" t="s">
        <v>613</v>
      </c>
      <c r="D1589" s="2501" t="s">
        <v>960</v>
      </c>
      <c r="E1589" s="2500">
        <v>0</v>
      </c>
      <c r="F1589" s="2687"/>
      <c r="G1589" s="2686"/>
      <c r="H1589" s="2685" t="e">
        <f t="shared" si="112"/>
        <v>#DIV/0!</v>
      </c>
    </row>
    <row r="1590" spans="1:8" ht="12.75" hidden="1" customHeight="1">
      <c r="A1590" s="1836"/>
      <c r="B1590" s="1831"/>
      <c r="C1590" s="2665" t="s">
        <v>1006</v>
      </c>
      <c r="D1590" s="2666" t="s">
        <v>1005</v>
      </c>
      <c r="E1590" s="2500">
        <v>0</v>
      </c>
      <c r="F1590" s="2687"/>
      <c r="G1590" s="2686"/>
      <c r="H1590" s="2685" t="e">
        <f t="shared" si="112"/>
        <v>#DIV/0!</v>
      </c>
    </row>
    <row r="1591" spans="1:8" ht="12.75" hidden="1" customHeight="1">
      <c r="A1591" s="1836"/>
      <c r="B1591" s="1831"/>
      <c r="C1591" s="2665" t="s">
        <v>1004</v>
      </c>
      <c r="D1591" s="2666" t="s">
        <v>1003</v>
      </c>
      <c r="E1591" s="2500">
        <v>0</v>
      </c>
      <c r="F1591" s="2687"/>
      <c r="G1591" s="2686"/>
      <c r="H1591" s="2685" t="e">
        <f t="shared" si="112"/>
        <v>#DIV/0!</v>
      </c>
    </row>
    <row r="1592" spans="1:8" ht="12.75" hidden="1" customHeight="1">
      <c r="A1592" s="1836"/>
      <c r="B1592" s="1831"/>
      <c r="C1592" s="2665" t="s">
        <v>959</v>
      </c>
      <c r="D1592" s="2666" t="s">
        <v>958</v>
      </c>
      <c r="E1592" s="2500">
        <v>0</v>
      </c>
      <c r="F1592" s="2687"/>
      <c r="G1592" s="2686"/>
      <c r="H1592" s="2685" t="e">
        <f t="shared" si="112"/>
        <v>#DIV/0!</v>
      </c>
    </row>
    <row r="1593" spans="1:8" ht="16.5" hidden="1" customHeight="1">
      <c r="A1593" s="1836"/>
      <c r="B1593" s="1831"/>
      <c r="C1593" s="2690"/>
      <c r="D1593" s="2689"/>
      <c r="E1593" s="2500"/>
      <c r="F1593" s="2687"/>
      <c r="G1593" s="2686"/>
      <c r="H1593" s="2685"/>
    </row>
    <row r="1594" spans="1:8" ht="16.5" hidden="1" customHeight="1">
      <c r="A1594" s="1836"/>
      <c r="B1594" s="1831"/>
      <c r="C1594" s="4361" t="s">
        <v>976</v>
      </c>
      <c r="D1594" s="4362"/>
      <c r="E1594" s="2500">
        <f>SUM(E1595:E1604)</f>
        <v>0</v>
      </c>
      <c r="F1594" s="2500">
        <f>SUM(F1595:F1604)</f>
        <v>45597</v>
      </c>
      <c r="G1594" s="1802">
        <f>SUM(G1595:G1604)</f>
        <v>0</v>
      </c>
      <c r="H1594" s="2685">
        <f t="shared" ref="H1594:H1605" si="113">G1594/F1594</f>
        <v>0</v>
      </c>
    </row>
    <row r="1595" spans="1:8" ht="16.5" hidden="1" customHeight="1">
      <c r="A1595" s="1836"/>
      <c r="B1595" s="1831"/>
      <c r="C1595" s="2665" t="s">
        <v>462</v>
      </c>
      <c r="D1595" s="2646" t="s">
        <v>1015</v>
      </c>
      <c r="E1595" s="2500">
        <v>0</v>
      </c>
      <c r="F1595" s="2687">
        <v>1906</v>
      </c>
      <c r="G1595" s="2686">
        <v>0</v>
      </c>
      <c r="H1595" s="2685">
        <f t="shared" si="113"/>
        <v>0</v>
      </c>
    </row>
    <row r="1596" spans="1:8" ht="16.5" hidden="1" customHeight="1">
      <c r="A1596" s="1836"/>
      <c r="B1596" s="1831"/>
      <c r="C1596" s="2665" t="s">
        <v>461</v>
      </c>
      <c r="D1596" s="2646" t="s">
        <v>1015</v>
      </c>
      <c r="E1596" s="2500">
        <v>0</v>
      </c>
      <c r="F1596" s="2687">
        <v>356</v>
      </c>
      <c r="G1596" s="2686">
        <v>0</v>
      </c>
      <c r="H1596" s="2685">
        <f t="shared" si="113"/>
        <v>0</v>
      </c>
    </row>
    <row r="1597" spans="1:8" ht="16.5" hidden="1" customHeight="1">
      <c r="A1597" s="1836"/>
      <c r="B1597" s="1831"/>
      <c r="C1597" s="2665" t="s">
        <v>460</v>
      </c>
      <c r="D1597" s="2646" t="s">
        <v>964</v>
      </c>
      <c r="E1597" s="2500">
        <v>0</v>
      </c>
      <c r="F1597" s="2687">
        <v>2842</v>
      </c>
      <c r="G1597" s="2686">
        <v>0</v>
      </c>
      <c r="H1597" s="2685">
        <f t="shared" si="113"/>
        <v>0</v>
      </c>
    </row>
    <row r="1598" spans="1:8" ht="16.5" hidden="1" customHeight="1">
      <c r="A1598" s="1836"/>
      <c r="B1598" s="1831"/>
      <c r="C1598" s="2665" t="s">
        <v>459</v>
      </c>
      <c r="D1598" s="2646" t="s">
        <v>964</v>
      </c>
      <c r="E1598" s="2500">
        <v>0</v>
      </c>
      <c r="F1598" s="2687">
        <v>530</v>
      </c>
      <c r="G1598" s="2686">
        <v>0</v>
      </c>
      <c r="H1598" s="2685">
        <f t="shared" si="113"/>
        <v>0</v>
      </c>
    </row>
    <row r="1599" spans="1:8" ht="16.5" hidden="1" customHeight="1">
      <c r="A1599" s="1836"/>
      <c r="B1599" s="1831"/>
      <c r="C1599" s="2665" t="s">
        <v>458</v>
      </c>
      <c r="D1599" s="2688" t="s">
        <v>962</v>
      </c>
      <c r="E1599" s="2500">
        <v>0</v>
      </c>
      <c r="F1599" s="2687">
        <v>436</v>
      </c>
      <c r="G1599" s="2686">
        <v>0</v>
      </c>
      <c r="H1599" s="2685">
        <f t="shared" si="113"/>
        <v>0</v>
      </c>
    </row>
    <row r="1600" spans="1:8" ht="16.5" hidden="1" customHeight="1">
      <c r="A1600" s="1836"/>
      <c r="B1600" s="1831"/>
      <c r="C1600" s="2665" t="s">
        <v>457</v>
      </c>
      <c r="D1600" s="2688" t="s">
        <v>962</v>
      </c>
      <c r="E1600" s="2500">
        <v>0</v>
      </c>
      <c r="F1600" s="2687">
        <v>81</v>
      </c>
      <c r="G1600" s="2686">
        <v>0</v>
      </c>
      <c r="H1600" s="2685">
        <f t="shared" si="113"/>
        <v>0</v>
      </c>
    </row>
    <row r="1601" spans="1:8" ht="16.5" hidden="1" customHeight="1">
      <c r="A1601" s="1836"/>
      <c r="B1601" s="1831"/>
      <c r="C1601" s="2665" t="s">
        <v>469</v>
      </c>
      <c r="D1601" s="2666" t="s">
        <v>1005</v>
      </c>
      <c r="E1601" s="2500">
        <v>0</v>
      </c>
      <c r="F1601" s="2687">
        <v>13477</v>
      </c>
      <c r="G1601" s="2686">
        <v>0</v>
      </c>
      <c r="H1601" s="2685">
        <f t="shared" si="113"/>
        <v>0</v>
      </c>
    </row>
    <row r="1602" spans="1:8" ht="16.5" hidden="1" customHeight="1">
      <c r="A1602" s="1836"/>
      <c r="B1602" s="1831"/>
      <c r="C1602" s="2665" t="s">
        <v>468</v>
      </c>
      <c r="D1602" s="2666" t="s">
        <v>1005</v>
      </c>
      <c r="E1602" s="2500">
        <v>0</v>
      </c>
      <c r="F1602" s="2687">
        <v>2514</v>
      </c>
      <c r="G1602" s="2686">
        <v>0</v>
      </c>
      <c r="H1602" s="2685">
        <f t="shared" si="113"/>
        <v>0</v>
      </c>
    </row>
    <row r="1603" spans="1:8" ht="16.5" hidden="1" customHeight="1">
      <c r="A1603" s="1836"/>
      <c r="B1603" s="1831"/>
      <c r="C1603" s="2665" t="s">
        <v>452</v>
      </c>
      <c r="D1603" s="2666" t="s">
        <v>1106</v>
      </c>
      <c r="E1603" s="2500">
        <v>0</v>
      </c>
      <c r="F1603" s="2687">
        <v>19768</v>
      </c>
      <c r="G1603" s="2686">
        <v>0</v>
      </c>
      <c r="H1603" s="2685">
        <f t="shared" si="113"/>
        <v>0</v>
      </c>
    </row>
    <row r="1604" spans="1:8" ht="16.5" hidden="1" customHeight="1">
      <c r="A1604" s="1836"/>
      <c r="B1604" s="1831"/>
      <c r="C1604" s="2665" t="s">
        <v>451</v>
      </c>
      <c r="D1604" s="2666" t="s">
        <v>1106</v>
      </c>
      <c r="E1604" s="2500">
        <v>0</v>
      </c>
      <c r="F1604" s="2687">
        <v>3687</v>
      </c>
      <c r="G1604" s="2686">
        <v>0</v>
      </c>
      <c r="H1604" s="2685">
        <f t="shared" si="113"/>
        <v>0</v>
      </c>
    </row>
    <row r="1605" spans="1:8" ht="13.5" hidden="1" customHeight="1">
      <c r="A1605" s="1836"/>
      <c r="B1605" s="1822"/>
      <c r="C1605" s="2684" t="s">
        <v>1089</v>
      </c>
      <c r="D1605" s="2683" t="s">
        <v>1092</v>
      </c>
      <c r="E1605" s="2526">
        <v>0</v>
      </c>
      <c r="F1605" s="2682"/>
      <c r="G1605" s="2681"/>
      <c r="H1605" s="2680" t="e">
        <f t="shared" si="113"/>
        <v>#DIV/0!</v>
      </c>
    </row>
    <row r="1606" spans="1:8" ht="13.5" thickBot="1">
      <c r="A1606" s="2195"/>
      <c r="B1606" s="2195"/>
      <c r="C1606" s="2678"/>
      <c r="D1606" s="2679"/>
      <c r="E1606" s="2678"/>
      <c r="F1606" s="2636"/>
      <c r="G1606" s="1738"/>
      <c r="H1606" s="2619"/>
    </row>
    <row r="1607" spans="1:8" ht="17.100000000000001" customHeight="1">
      <c r="A1607" s="2677"/>
      <c r="B1607" s="2677"/>
      <c r="C1607" s="4363" t="s">
        <v>941</v>
      </c>
      <c r="D1607" s="4364"/>
      <c r="E1607" s="2676">
        <f>SUM(E1608)</f>
        <v>39710</v>
      </c>
      <c r="F1607" s="2676">
        <f>SUM(F1608)</f>
        <v>0</v>
      </c>
      <c r="G1607" s="2675">
        <f>SUM(G1608)</f>
        <v>26880</v>
      </c>
      <c r="H1607" s="2631"/>
    </row>
    <row r="1608" spans="1:8" ht="17.100000000000001" customHeight="1">
      <c r="A1608" s="1836"/>
      <c r="B1608" s="1836"/>
      <c r="C1608" s="4365" t="s">
        <v>940</v>
      </c>
      <c r="D1608" s="4366"/>
      <c r="E1608" s="2500">
        <f>SUM(E1610)</f>
        <v>39710</v>
      </c>
      <c r="F1608" s="2500">
        <f>SUM(F1610)</f>
        <v>0</v>
      </c>
      <c r="G1608" s="1802">
        <f>SUM(G1610)</f>
        <v>26880</v>
      </c>
      <c r="H1608" s="2619"/>
    </row>
    <row r="1609" spans="1:8" ht="17.100000000000001" hidden="1" customHeight="1">
      <c r="A1609" s="1836"/>
      <c r="B1609" s="1836"/>
      <c r="C1609" s="2674" t="s">
        <v>546</v>
      </c>
      <c r="D1609" s="2671" t="s">
        <v>1023</v>
      </c>
      <c r="E1609" s="2500">
        <v>0</v>
      </c>
      <c r="F1609" s="2621"/>
      <c r="G1609" s="2620"/>
      <c r="H1609" s="2619"/>
    </row>
    <row r="1610" spans="1:8" ht="17.100000000000001" customHeight="1" thickBot="1">
      <c r="A1610" s="1836"/>
      <c r="B1610" s="1836"/>
      <c r="C1610" s="2673" t="s">
        <v>553</v>
      </c>
      <c r="D1610" s="2672" t="s">
        <v>1072</v>
      </c>
      <c r="E1610" s="1873">
        <v>39710</v>
      </c>
      <c r="F1610" s="2621">
        <v>0</v>
      </c>
      <c r="G1610" s="2620">
        <v>26880</v>
      </c>
      <c r="H1610" s="2619"/>
    </row>
    <row r="1611" spans="1:8" ht="17.100000000000001" customHeight="1" thickBot="1">
      <c r="A1611" s="1836"/>
      <c r="B1611" s="1768" t="s">
        <v>436</v>
      </c>
      <c r="C1611" s="1839"/>
      <c r="D1611" s="1838" t="s">
        <v>50</v>
      </c>
      <c r="E1611" s="1818">
        <f>SUM(E1612,E1656)</f>
        <v>2674868</v>
      </c>
      <c r="F1611" s="1818">
        <f>SUM(F1612,F1656)</f>
        <v>3845029</v>
      </c>
      <c r="G1611" s="1817">
        <f>SUM(G1612,G1656)</f>
        <v>3180799</v>
      </c>
      <c r="H1611" s="1763">
        <f t="shared" ref="H1611:H1620" si="114">G1611/F1611</f>
        <v>0.82724967744066424</v>
      </c>
    </row>
    <row r="1612" spans="1:8" ht="17.100000000000001" customHeight="1">
      <c r="A1612" s="1836"/>
      <c r="B1612" s="1885"/>
      <c r="C1612" s="4207" t="s">
        <v>944</v>
      </c>
      <c r="D1612" s="4099"/>
      <c r="E1612" s="2095">
        <f>SUM(E1613,E1630,E1638,E1643)</f>
        <v>2645918</v>
      </c>
      <c r="F1612" s="2095">
        <f>SUM(F1613,F1630,F1638,F1643)</f>
        <v>3814680</v>
      </c>
      <c r="G1612" s="2094">
        <f>SUM(G1613,G1630,G1638,G1643)</f>
        <v>3180799</v>
      </c>
      <c r="H1612" s="2537">
        <f t="shared" si="114"/>
        <v>0.83383114704247796</v>
      </c>
    </row>
    <row r="1613" spans="1:8" ht="17.100000000000001" customHeight="1">
      <c r="A1613" s="1836"/>
      <c r="B1613" s="1822"/>
      <c r="C1613" s="4367" t="s">
        <v>967</v>
      </c>
      <c r="D1613" s="4368"/>
      <c r="E1613" s="2621">
        <f>SUM(E1614,E1622)</f>
        <v>713320</v>
      </c>
      <c r="F1613" s="2621">
        <f>SUM(F1614,F1622)</f>
        <v>1244510</v>
      </c>
      <c r="G1613" s="2620">
        <f>SUM(G1614,G1622)</f>
        <v>937583</v>
      </c>
      <c r="H1613" s="2619">
        <f t="shared" si="114"/>
        <v>0.75337522398373657</v>
      </c>
    </row>
    <row r="1614" spans="1:8" ht="17.100000000000001" customHeight="1">
      <c r="A1614" s="1836"/>
      <c r="B1614" s="1822"/>
      <c r="C1614" s="4359" t="s">
        <v>966</v>
      </c>
      <c r="D1614" s="4369"/>
      <c r="E1614" s="2670">
        <f>SUM(E1615:E1620)</f>
        <v>3300</v>
      </c>
      <c r="F1614" s="2670">
        <f>SUM(F1615:F1620)</f>
        <v>77489</v>
      </c>
      <c r="G1614" s="2669">
        <f>SUM(G1615:G1620)</f>
        <v>4400</v>
      </c>
      <c r="H1614" s="2668">
        <f t="shared" si="114"/>
        <v>5.6782252964936962E-2</v>
      </c>
    </row>
    <row r="1615" spans="1:8" ht="16.5" hidden="1" customHeight="1">
      <c r="A1615" s="1836"/>
      <c r="B1615" s="1822"/>
      <c r="C1615" s="2665" t="s">
        <v>1016</v>
      </c>
      <c r="D1615" s="2667" t="s">
        <v>1015</v>
      </c>
      <c r="E1615" s="2621">
        <v>0</v>
      </c>
      <c r="F1615" s="2621">
        <v>19160</v>
      </c>
      <c r="G1615" s="2620">
        <v>0</v>
      </c>
      <c r="H1615" s="2619">
        <f t="shared" si="114"/>
        <v>0</v>
      </c>
    </row>
    <row r="1616" spans="1:8" ht="16.5" hidden="1" customHeight="1">
      <c r="A1616" s="1836"/>
      <c r="B1616" s="1822"/>
      <c r="C1616" s="2665" t="s">
        <v>965</v>
      </c>
      <c r="D1616" s="2667" t="s">
        <v>964</v>
      </c>
      <c r="E1616" s="2621">
        <v>0</v>
      </c>
      <c r="F1616" s="2621">
        <v>7326</v>
      </c>
      <c r="G1616" s="2620">
        <v>0</v>
      </c>
      <c r="H1616" s="2619">
        <f t="shared" si="114"/>
        <v>0</v>
      </c>
    </row>
    <row r="1617" spans="1:10" ht="16.5" hidden="1" customHeight="1">
      <c r="A1617" s="1836"/>
      <c r="B1617" s="1822"/>
      <c r="C1617" s="2665" t="s">
        <v>963</v>
      </c>
      <c r="D1617" s="2641" t="s">
        <v>962</v>
      </c>
      <c r="E1617" s="2621">
        <v>0</v>
      </c>
      <c r="F1617" s="2621">
        <v>887</v>
      </c>
      <c r="G1617" s="2620">
        <v>0</v>
      </c>
      <c r="H1617" s="2619">
        <f t="shared" si="114"/>
        <v>0</v>
      </c>
    </row>
    <row r="1618" spans="1:10" ht="16.5" customHeight="1">
      <c r="A1618" s="1822"/>
      <c r="B1618" s="1822"/>
      <c r="C1618" s="2664" t="s">
        <v>974</v>
      </c>
      <c r="D1618" s="2671" t="s">
        <v>973</v>
      </c>
      <c r="E1618" s="2621">
        <v>3300</v>
      </c>
      <c r="F1618" s="2621">
        <v>31300</v>
      </c>
      <c r="G1618" s="2620">
        <v>4400</v>
      </c>
      <c r="H1618" s="2619">
        <f t="shared" si="114"/>
        <v>0.14057507987220447</v>
      </c>
    </row>
    <row r="1619" spans="1:10" ht="16.5" hidden="1" customHeight="1">
      <c r="A1619" s="1836"/>
      <c r="B1619" s="1822"/>
      <c r="C1619" s="2656" t="s">
        <v>1012</v>
      </c>
      <c r="D1619" s="2639" t="s">
        <v>1011</v>
      </c>
      <c r="E1619" s="2500">
        <v>0</v>
      </c>
      <c r="F1619" s="2500">
        <v>265</v>
      </c>
      <c r="G1619" s="1802">
        <v>0</v>
      </c>
      <c r="H1619" s="2503">
        <f t="shared" si="114"/>
        <v>0</v>
      </c>
    </row>
    <row r="1620" spans="1:10" ht="16.5" hidden="1" customHeight="1">
      <c r="A1620" s="1836"/>
      <c r="B1620" s="1822"/>
      <c r="C1620" s="2623" t="s">
        <v>1107</v>
      </c>
      <c r="D1620" s="2666" t="s">
        <v>1106</v>
      </c>
      <c r="E1620" s="2621">
        <v>0</v>
      </c>
      <c r="F1620" s="2621">
        <v>18551</v>
      </c>
      <c r="G1620" s="2620">
        <v>0</v>
      </c>
      <c r="H1620" s="2619">
        <f t="shared" si="114"/>
        <v>0</v>
      </c>
    </row>
    <row r="1621" spans="1:10" ht="17.100000000000001" customHeight="1">
      <c r="A1621" s="1836"/>
      <c r="B1621" s="1822"/>
      <c r="C1621" s="2163"/>
      <c r="D1621" s="2635"/>
      <c r="E1621" s="2162"/>
      <c r="F1621" s="2607"/>
      <c r="G1621" s="2606"/>
      <c r="H1621" s="2605"/>
    </row>
    <row r="1622" spans="1:10" ht="17.100000000000001" customHeight="1">
      <c r="A1622" s="1836"/>
      <c r="B1622" s="1822"/>
      <c r="C1622" s="4360" t="s">
        <v>961</v>
      </c>
      <c r="D1622" s="4370"/>
      <c r="E1622" s="2670">
        <f>SUM(E1623:E1628)</f>
        <v>710020</v>
      </c>
      <c r="F1622" s="2670">
        <f>SUM(F1623:F1628)</f>
        <v>1167021</v>
      </c>
      <c r="G1622" s="2669">
        <f>SUM(G1623:G1628)</f>
        <v>933183</v>
      </c>
      <c r="H1622" s="2668">
        <f t="shared" ref="H1622:H1628" si="115">G1622/F1622</f>
        <v>0.79962828432393251</v>
      </c>
    </row>
    <row r="1623" spans="1:10" ht="17.100000000000001" customHeight="1">
      <c r="A1623" s="1836"/>
      <c r="B1623" s="1822"/>
      <c r="C1623" s="2665" t="s">
        <v>613</v>
      </c>
      <c r="D1623" s="2667" t="s">
        <v>960</v>
      </c>
      <c r="E1623" s="2621">
        <v>2000</v>
      </c>
      <c r="F1623" s="2621">
        <v>206888</v>
      </c>
      <c r="G1623" s="2620">
        <v>152000</v>
      </c>
      <c r="H1623" s="2619">
        <f t="shared" si="115"/>
        <v>0.73469703414407794</v>
      </c>
    </row>
    <row r="1624" spans="1:10" ht="17.100000000000001" hidden="1" customHeight="1">
      <c r="A1624" s="1836"/>
      <c r="B1624" s="1822"/>
      <c r="C1624" s="2665" t="s">
        <v>1008</v>
      </c>
      <c r="D1624" s="2666" t="s">
        <v>1007</v>
      </c>
      <c r="E1624" s="2621">
        <v>0</v>
      </c>
      <c r="F1624" s="2621">
        <v>51243</v>
      </c>
      <c r="G1624" s="2620">
        <v>0</v>
      </c>
      <c r="H1624" s="2619">
        <f t="shared" si="115"/>
        <v>0</v>
      </c>
    </row>
    <row r="1625" spans="1:10" ht="17.100000000000001" hidden="1" customHeight="1">
      <c r="A1625" s="1836"/>
      <c r="B1625" s="1822"/>
      <c r="C1625" s="2665" t="s">
        <v>1006</v>
      </c>
      <c r="D1625" s="2666" t="s">
        <v>1005</v>
      </c>
      <c r="E1625" s="2621">
        <v>0</v>
      </c>
      <c r="F1625" s="2621">
        <v>23190</v>
      </c>
      <c r="G1625" s="2620">
        <v>0</v>
      </c>
      <c r="H1625" s="2619">
        <f t="shared" si="115"/>
        <v>0</v>
      </c>
    </row>
    <row r="1626" spans="1:10" ht="17.100000000000001" customHeight="1">
      <c r="A1626" s="1836"/>
      <c r="B1626" s="1822"/>
      <c r="C1626" s="2665" t="s">
        <v>959</v>
      </c>
      <c r="D1626" s="2646" t="s">
        <v>958</v>
      </c>
      <c r="E1626" s="2621">
        <v>26000</v>
      </c>
      <c r="F1626" s="2621">
        <v>200038</v>
      </c>
      <c r="G1626" s="2620">
        <v>31100</v>
      </c>
      <c r="H1626" s="2619">
        <f t="shared" si="115"/>
        <v>0.15547046061248362</v>
      </c>
    </row>
    <row r="1627" spans="1:10" ht="17.100000000000001" hidden="1" customHeight="1">
      <c r="A1627" s="1836"/>
      <c r="B1627" s="1822"/>
      <c r="C1627" s="2665" t="s">
        <v>988</v>
      </c>
      <c r="D1627" s="2641" t="s">
        <v>987</v>
      </c>
      <c r="E1627" s="2621">
        <v>0</v>
      </c>
      <c r="F1627" s="2621">
        <v>925</v>
      </c>
      <c r="G1627" s="2620">
        <v>0</v>
      </c>
      <c r="H1627" s="2619">
        <f t="shared" si="115"/>
        <v>0</v>
      </c>
    </row>
    <row r="1628" spans="1:10" ht="17.100000000000001" customHeight="1">
      <c r="A1628" s="1822"/>
      <c r="B1628" s="1822"/>
      <c r="C1628" s="2664" t="s">
        <v>986</v>
      </c>
      <c r="D1628" s="2663" t="s">
        <v>985</v>
      </c>
      <c r="E1628" s="2621">
        <v>682020</v>
      </c>
      <c r="F1628" s="2621">
        <v>684737</v>
      </c>
      <c r="G1628" s="2620">
        <v>750083</v>
      </c>
      <c r="H1628" s="2619">
        <f t="shared" si="115"/>
        <v>1.0954322608534373</v>
      </c>
    </row>
    <row r="1629" spans="1:10" ht="17.100000000000001" customHeight="1">
      <c r="A1629" s="1836"/>
      <c r="B1629" s="1822"/>
      <c r="C1629" s="2163"/>
      <c r="D1629" s="2635"/>
      <c r="E1629" s="2162"/>
      <c r="F1629" s="2526"/>
      <c r="G1629" s="1903"/>
      <c r="H1629" s="2545"/>
    </row>
    <row r="1630" spans="1:10" ht="17.100000000000001" customHeight="1">
      <c r="A1630" s="1836"/>
      <c r="B1630" s="1822"/>
      <c r="C1630" s="4337" t="s">
        <v>943</v>
      </c>
      <c r="D1630" s="4338"/>
      <c r="E1630" s="2621">
        <f>SUM(E1631:E1636)</f>
        <v>1308949</v>
      </c>
      <c r="F1630" s="2621">
        <f>SUM(F1631:F1636)</f>
        <v>1881151</v>
      </c>
      <c r="G1630" s="2620">
        <f>SUM(G1631:G1636)</f>
        <v>629504</v>
      </c>
      <c r="H1630" s="2619">
        <f t="shared" ref="H1630:H1636" si="116">G1630/F1630</f>
        <v>0.33463767661394539</v>
      </c>
    </row>
    <row r="1631" spans="1:10" ht="54" customHeight="1">
      <c r="A1631" s="1836"/>
      <c r="B1631" s="1822"/>
      <c r="C1631" s="2662" t="s">
        <v>359</v>
      </c>
      <c r="D1631" s="2661" t="s">
        <v>1117</v>
      </c>
      <c r="E1631" s="2654">
        <v>813868</v>
      </c>
      <c r="F1631" s="2621">
        <v>1189800</v>
      </c>
      <c r="G1631" s="2620">
        <v>611361</v>
      </c>
      <c r="H1631" s="2619">
        <f t="shared" si="116"/>
        <v>0.51383509833585472</v>
      </c>
      <c r="J1631" s="1702" t="s">
        <v>1025</v>
      </c>
    </row>
    <row r="1632" spans="1:10" ht="52.5" customHeight="1">
      <c r="A1632" s="1836"/>
      <c r="B1632" s="1822"/>
      <c r="C1632" s="2623" t="s">
        <v>185</v>
      </c>
      <c r="D1632" s="2660" t="s">
        <v>1095</v>
      </c>
      <c r="E1632" s="2654">
        <v>495081</v>
      </c>
      <c r="F1632" s="2621">
        <v>579549</v>
      </c>
      <c r="G1632" s="2620">
        <v>18143</v>
      </c>
      <c r="H1632" s="2619">
        <f t="shared" si="116"/>
        <v>3.1305377112202763E-2</v>
      </c>
      <c r="J1632" s="1702" t="s">
        <v>1025</v>
      </c>
    </row>
    <row r="1633" spans="1:8" ht="54.75" hidden="1" customHeight="1">
      <c r="A1633" s="1836"/>
      <c r="B1633" s="1822"/>
      <c r="C1633" s="2623" t="s">
        <v>112</v>
      </c>
      <c r="D1633" s="2659" t="s">
        <v>956</v>
      </c>
      <c r="E1633" s="2654">
        <v>0</v>
      </c>
      <c r="F1633" s="2621">
        <v>30000</v>
      </c>
      <c r="G1633" s="2620">
        <v>0</v>
      </c>
      <c r="H1633" s="2619">
        <f t="shared" si="116"/>
        <v>0</v>
      </c>
    </row>
    <row r="1634" spans="1:8" ht="33" hidden="1" customHeight="1">
      <c r="A1634" s="1836"/>
      <c r="B1634" s="1822"/>
      <c r="C1634" s="2623" t="s">
        <v>91</v>
      </c>
      <c r="D1634" s="2658" t="s">
        <v>942</v>
      </c>
      <c r="E1634" s="2654">
        <v>0</v>
      </c>
      <c r="F1634" s="2621"/>
      <c r="G1634" s="2620"/>
      <c r="H1634" s="2619" t="e">
        <f t="shared" si="116"/>
        <v>#DIV/0!</v>
      </c>
    </row>
    <row r="1635" spans="1:8" ht="54.75" hidden="1" customHeight="1">
      <c r="A1635" s="1836"/>
      <c r="B1635" s="1822"/>
      <c r="C1635" s="2623" t="s">
        <v>300</v>
      </c>
      <c r="D1635" s="2657" t="s">
        <v>1127</v>
      </c>
      <c r="E1635" s="2654">
        <v>0</v>
      </c>
      <c r="F1635" s="2621">
        <v>17850</v>
      </c>
      <c r="G1635" s="2620">
        <v>0</v>
      </c>
      <c r="H1635" s="2619">
        <f t="shared" si="116"/>
        <v>0</v>
      </c>
    </row>
    <row r="1636" spans="1:8" ht="16.5" hidden="1" customHeight="1">
      <c r="A1636" s="1836"/>
      <c r="B1636" s="1822"/>
      <c r="C1636" s="2656" t="s">
        <v>301</v>
      </c>
      <c r="D1636" s="2655" t="s">
        <v>1115</v>
      </c>
      <c r="E1636" s="2654">
        <v>0</v>
      </c>
      <c r="F1636" s="2621">
        <v>63952</v>
      </c>
      <c r="G1636" s="2620">
        <v>0</v>
      </c>
      <c r="H1636" s="2619">
        <f t="shared" si="116"/>
        <v>0</v>
      </c>
    </row>
    <row r="1637" spans="1:8" ht="17.100000000000001" customHeight="1" thickBot="1">
      <c r="A1637" s="1836"/>
      <c r="B1637" s="1822"/>
      <c r="C1637" s="2652"/>
      <c r="D1637" s="2653"/>
      <c r="E1637" s="2652"/>
      <c r="F1637" s="2607"/>
      <c r="G1637" s="2606"/>
      <c r="H1637" s="2651"/>
    </row>
    <row r="1638" spans="1:8" ht="17.100000000000001" customHeight="1">
      <c r="A1638" s="1822"/>
      <c r="B1638" s="1822"/>
      <c r="C1638" s="4339" t="s">
        <v>1199</v>
      </c>
      <c r="D1638" s="4340"/>
      <c r="E1638" s="2500">
        <f>SUM(E1639:E1641)</f>
        <v>623649</v>
      </c>
      <c r="F1638" s="2500">
        <f>SUM(F1639:F1641)</f>
        <v>623649</v>
      </c>
      <c r="G1638" s="1802">
        <f>SUM(G1639:G1641)</f>
        <v>685000</v>
      </c>
      <c r="H1638" s="2099">
        <f>G1638/F1638</f>
        <v>1.0983742457696557</v>
      </c>
    </row>
    <row r="1639" spans="1:8" ht="17.100000000000001" hidden="1" customHeight="1">
      <c r="A1639" s="1836"/>
      <c r="B1639" s="1822"/>
      <c r="C1639" s="2650" t="s">
        <v>980</v>
      </c>
      <c r="D1639" s="2646" t="s">
        <v>979</v>
      </c>
      <c r="E1639" s="2621">
        <v>46849</v>
      </c>
      <c r="F1639" s="2621">
        <v>46849</v>
      </c>
      <c r="G1639" s="2620">
        <v>0</v>
      </c>
      <c r="H1639" s="2619">
        <f>G1639/F1639</f>
        <v>0</v>
      </c>
    </row>
    <row r="1640" spans="1:8" ht="17.100000000000001" customHeight="1">
      <c r="A1640" s="1836"/>
      <c r="B1640" s="1822"/>
      <c r="C1640" s="2650" t="s">
        <v>951</v>
      </c>
      <c r="D1640" s="2646" t="s">
        <v>950</v>
      </c>
      <c r="E1640" s="2621">
        <v>150000</v>
      </c>
      <c r="F1640" s="2621">
        <v>150000</v>
      </c>
      <c r="G1640" s="2620">
        <v>185000</v>
      </c>
      <c r="H1640" s="2619">
        <f>G1640/F1640</f>
        <v>1.2333333333333334</v>
      </c>
    </row>
    <row r="1641" spans="1:8" ht="17.100000000000001" customHeight="1">
      <c r="A1641" s="1836"/>
      <c r="B1641" s="1822"/>
      <c r="C1641" s="2650" t="s">
        <v>1208</v>
      </c>
      <c r="D1641" s="2646" t="s">
        <v>1110</v>
      </c>
      <c r="E1641" s="2621">
        <v>426800</v>
      </c>
      <c r="F1641" s="2621">
        <v>426800</v>
      </c>
      <c r="G1641" s="2620">
        <v>500000</v>
      </c>
      <c r="H1641" s="2619">
        <f>G1641/F1641</f>
        <v>1.1715089034676665</v>
      </c>
    </row>
    <row r="1642" spans="1:8" ht="12.75" customHeight="1">
      <c r="A1642" s="1836"/>
      <c r="B1642" s="1822"/>
      <c r="C1642" s="2649"/>
      <c r="D1642" s="2648"/>
      <c r="E1642" s="2526"/>
      <c r="F1642" s="2607"/>
      <c r="G1642" s="2606"/>
      <c r="H1642" s="2605"/>
    </row>
    <row r="1643" spans="1:8" ht="17.100000000000001" customHeight="1">
      <c r="A1643" s="1822"/>
      <c r="B1643" s="1822"/>
      <c r="C1643" s="4341" t="s">
        <v>976</v>
      </c>
      <c r="D1643" s="4342"/>
      <c r="E1643" s="2500">
        <f>SUM(E1644:E1654)</f>
        <v>0</v>
      </c>
      <c r="F1643" s="2500">
        <f>SUM(F1644:F1654)</f>
        <v>65370</v>
      </c>
      <c r="G1643" s="1802">
        <f>SUM(G1644:G1654)</f>
        <v>928712</v>
      </c>
      <c r="H1643" s="2503">
        <f>G1643/F1643</f>
        <v>14.20700627199021</v>
      </c>
    </row>
    <row r="1644" spans="1:8" ht="16.5" customHeight="1">
      <c r="A1644" s="1836"/>
      <c r="B1644" s="1822"/>
      <c r="C1644" s="2623" t="s">
        <v>431</v>
      </c>
      <c r="D1644" s="2646" t="s">
        <v>1015</v>
      </c>
      <c r="E1644" s="2621">
        <v>0</v>
      </c>
      <c r="F1644" s="2621">
        <v>7200</v>
      </c>
      <c r="G1644" s="2620">
        <v>87200</v>
      </c>
      <c r="H1644" s="2619">
        <f>G1644/F1644</f>
        <v>12.111111111111111</v>
      </c>
    </row>
    <row r="1645" spans="1:8" ht="16.5" customHeight="1">
      <c r="A1645" s="1836"/>
      <c r="B1645" s="1822"/>
      <c r="C1645" s="2623" t="s">
        <v>430</v>
      </c>
      <c r="D1645" s="2646" t="s">
        <v>964</v>
      </c>
      <c r="E1645" s="2621">
        <v>0</v>
      </c>
      <c r="F1645" s="2621">
        <v>4014</v>
      </c>
      <c r="G1645" s="2620">
        <v>15300</v>
      </c>
      <c r="H1645" s="2619">
        <f>G1645/F1645</f>
        <v>3.811659192825112</v>
      </c>
    </row>
    <row r="1646" spans="1:8" ht="16.5" customHeight="1">
      <c r="A1646" s="1836"/>
      <c r="B1646" s="1822"/>
      <c r="C1646" s="2623" t="s">
        <v>429</v>
      </c>
      <c r="D1646" s="2641" t="s">
        <v>962</v>
      </c>
      <c r="E1646" s="2621">
        <v>0</v>
      </c>
      <c r="F1646" s="2621">
        <v>573</v>
      </c>
      <c r="G1646" s="2620">
        <v>2181</v>
      </c>
      <c r="H1646" s="2619">
        <f>G1646/F1646</f>
        <v>3.8062827225130889</v>
      </c>
    </row>
    <row r="1647" spans="1:8" ht="16.5" hidden="1" customHeight="1">
      <c r="A1647" s="1836"/>
      <c r="B1647" s="1822"/>
      <c r="C1647" s="2623" t="s">
        <v>1207</v>
      </c>
      <c r="D1647" s="2647" t="s">
        <v>973</v>
      </c>
      <c r="E1647" s="2621">
        <v>0</v>
      </c>
      <c r="F1647" s="2621">
        <v>14684</v>
      </c>
      <c r="G1647" s="2620">
        <v>0</v>
      </c>
      <c r="H1647" s="2619">
        <f>G1647/F1647</f>
        <v>0</v>
      </c>
    </row>
    <row r="1648" spans="1:8" ht="16.5" customHeight="1">
      <c r="A1648" s="1836"/>
      <c r="B1648" s="1822"/>
      <c r="C1648" s="2644" t="s">
        <v>426</v>
      </c>
      <c r="D1648" s="2646" t="s">
        <v>960</v>
      </c>
      <c r="E1648" s="2621"/>
      <c r="F1648" s="2621">
        <v>0</v>
      </c>
      <c r="G1648" s="2620">
        <v>3799</v>
      </c>
      <c r="H1648" s="2619"/>
    </row>
    <row r="1649" spans="1:10" ht="16.5" customHeight="1">
      <c r="A1649" s="1836"/>
      <c r="B1649" s="1822"/>
      <c r="C1649" s="2644" t="s">
        <v>425</v>
      </c>
      <c r="D1649" s="2646" t="s">
        <v>958</v>
      </c>
      <c r="E1649" s="2621"/>
      <c r="F1649" s="2621">
        <v>2757</v>
      </c>
      <c r="G1649" s="2620">
        <v>786352</v>
      </c>
      <c r="H1649" s="2619">
        <f t="shared" ref="H1649:H1654" si="117">G1649/F1649</f>
        <v>285.22016684802321</v>
      </c>
    </row>
    <row r="1650" spans="1:10" ht="16.5" hidden="1" customHeight="1">
      <c r="A1650" s="1836"/>
      <c r="B1650" s="1822"/>
      <c r="C1650" s="2644" t="s">
        <v>1206</v>
      </c>
      <c r="D1650" s="2645" t="s">
        <v>991</v>
      </c>
      <c r="E1650" s="2621"/>
      <c r="F1650" s="2621">
        <v>2576</v>
      </c>
      <c r="G1650" s="2620">
        <v>0</v>
      </c>
      <c r="H1650" s="2619">
        <f t="shared" si="117"/>
        <v>0</v>
      </c>
    </row>
    <row r="1651" spans="1:10" ht="16.5" customHeight="1">
      <c r="A1651" s="1836"/>
      <c r="B1651" s="1822"/>
      <c r="C1651" s="2644" t="s">
        <v>439</v>
      </c>
      <c r="D1651" s="2643" t="s">
        <v>989</v>
      </c>
      <c r="E1651" s="2621">
        <v>0</v>
      </c>
      <c r="F1651" s="2621">
        <v>31572</v>
      </c>
      <c r="G1651" s="2620">
        <v>22051</v>
      </c>
      <c r="H1651" s="2619">
        <f t="shared" si="117"/>
        <v>0.69843532243760298</v>
      </c>
    </row>
    <row r="1652" spans="1:10" ht="16.5" customHeight="1">
      <c r="A1652" s="1836"/>
      <c r="B1652" s="1822"/>
      <c r="C1652" s="2642" t="s">
        <v>424</v>
      </c>
      <c r="D1652" s="2641" t="s">
        <v>987</v>
      </c>
      <c r="E1652" s="2621"/>
      <c r="F1652" s="2621">
        <v>374</v>
      </c>
      <c r="G1652" s="2620">
        <v>8800</v>
      </c>
      <c r="H1652" s="2619">
        <f t="shared" si="117"/>
        <v>23.529411764705884</v>
      </c>
    </row>
    <row r="1653" spans="1:10" ht="16.5" customHeight="1">
      <c r="A1653" s="1836"/>
      <c r="B1653" s="1822"/>
      <c r="C1653" s="2640" t="s">
        <v>428</v>
      </c>
      <c r="D1653" s="2639" t="s">
        <v>1011</v>
      </c>
      <c r="E1653" s="2621">
        <v>0</v>
      </c>
      <c r="F1653" s="2621">
        <v>154</v>
      </c>
      <c r="G1653" s="2620">
        <v>1226</v>
      </c>
      <c r="H1653" s="2619">
        <f t="shared" si="117"/>
        <v>7.9610389610389607</v>
      </c>
    </row>
    <row r="1654" spans="1:10" ht="16.5" customHeight="1" thickBot="1">
      <c r="A1654" s="2195"/>
      <c r="B1654" s="2393"/>
      <c r="C1654" s="2638" t="s">
        <v>440</v>
      </c>
      <c r="D1654" s="2637" t="s">
        <v>1106</v>
      </c>
      <c r="E1654" s="1873">
        <v>0</v>
      </c>
      <c r="F1654" s="2636">
        <v>1466</v>
      </c>
      <c r="G1654" s="1738">
        <v>1803</v>
      </c>
      <c r="H1654" s="2619">
        <f t="shared" si="117"/>
        <v>1.2298772169167804</v>
      </c>
    </row>
    <row r="1655" spans="1:10" ht="17.100000000000001" hidden="1" customHeight="1" thickBot="1">
      <c r="A1655" s="1836"/>
      <c r="B1655" s="1822"/>
      <c r="C1655" s="2163"/>
      <c r="D1655" s="2635"/>
      <c r="E1655" s="2634"/>
      <c r="F1655" s="2526"/>
      <c r="G1655" s="1903"/>
      <c r="H1655" s="2605"/>
    </row>
    <row r="1656" spans="1:10" ht="17.100000000000001" hidden="1" customHeight="1">
      <c r="A1656" s="1836"/>
      <c r="B1656" s="1822"/>
      <c r="C1656" s="4343" t="s">
        <v>941</v>
      </c>
      <c r="D1656" s="4344"/>
      <c r="E1656" s="2633">
        <f>SUM(E1657)</f>
        <v>28950</v>
      </c>
      <c r="F1656" s="2633">
        <f>SUM(F1657)</f>
        <v>30349</v>
      </c>
      <c r="G1656" s="2632">
        <f>SUM(G1657)</f>
        <v>0</v>
      </c>
      <c r="H1656" s="2631">
        <f t="shared" ref="H1656:H1699" si="118">G1656/F1656</f>
        <v>0</v>
      </c>
    </row>
    <row r="1657" spans="1:10" ht="16.5" hidden="1" customHeight="1">
      <c r="A1657" s="1836"/>
      <c r="B1657" s="1822"/>
      <c r="C1657" s="4345" t="s">
        <v>940</v>
      </c>
      <c r="D1657" s="4346"/>
      <c r="E1657" s="2621">
        <f>SUM(E1658:E1662)</f>
        <v>28950</v>
      </c>
      <c r="F1657" s="2621">
        <f>SUM(F1658:F1662)</f>
        <v>30349</v>
      </c>
      <c r="G1657" s="2620">
        <f>SUM(G1658:G1662)</f>
        <v>0</v>
      </c>
      <c r="H1657" s="2619">
        <f t="shared" si="118"/>
        <v>0</v>
      </c>
    </row>
    <row r="1658" spans="1:10" ht="56.25" hidden="1" customHeight="1">
      <c r="A1658" s="1822"/>
      <c r="B1658" s="1822"/>
      <c r="C1658" s="2630" t="s">
        <v>540</v>
      </c>
      <c r="D1658" s="2629" t="s">
        <v>1136</v>
      </c>
      <c r="E1658" s="2621">
        <v>0</v>
      </c>
      <c r="F1658" s="2621">
        <v>7839</v>
      </c>
      <c r="G1658" s="2620">
        <v>0</v>
      </c>
      <c r="H1658" s="2619">
        <f t="shared" si="118"/>
        <v>0</v>
      </c>
    </row>
    <row r="1659" spans="1:10" ht="54" hidden="1" customHeight="1">
      <c r="A1659" s="1836"/>
      <c r="B1659" s="1822"/>
      <c r="C1659" s="2502" t="s">
        <v>186</v>
      </c>
      <c r="D1659" s="2628" t="s">
        <v>1026</v>
      </c>
      <c r="E1659" s="2500">
        <v>28950</v>
      </c>
      <c r="F1659" s="2500">
        <v>4917</v>
      </c>
      <c r="G1659" s="1802">
        <v>0</v>
      </c>
      <c r="H1659" s="2503">
        <f t="shared" si="118"/>
        <v>0</v>
      </c>
      <c r="J1659" s="1702" t="s">
        <v>1025</v>
      </c>
    </row>
    <row r="1660" spans="1:10" ht="40.5" hidden="1" customHeight="1">
      <c r="A1660" s="1836"/>
      <c r="B1660" s="1822"/>
      <c r="C1660" s="2627" t="s">
        <v>939</v>
      </c>
      <c r="D1660" s="2626" t="s">
        <v>938</v>
      </c>
      <c r="E1660" s="2621">
        <v>0</v>
      </c>
      <c r="F1660" s="2625">
        <v>12000</v>
      </c>
      <c r="G1660" s="2624">
        <v>0</v>
      </c>
      <c r="H1660" s="2619">
        <f t="shared" si="118"/>
        <v>0</v>
      </c>
    </row>
    <row r="1661" spans="1:10" ht="56.25" hidden="1" customHeight="1">
      <c r="A1661" s="1836"/>
      <c r="B1661" s="1822"/>
      <c r="C1661" s="2623" t="s">
        <v>302</v>
      </c>
      <c r="D1661" s="2622" t="s">
        <v>1205</v>
      </c>
      <c r="E1661" s="2621">
        <v>0</v>
      </c>
      <c r="F1661" s="2621">
        <v>941</v>
      </c>
      <c r="G1661" s="2620">
        <v>0</v>
      </c>
      <c r="H1661" s="2619">
        <f t="shared" si="118"/>
        <v>0</v>
      </c>
    </row>
    <row r="1662" spans="1:10" ht="32.25" hidden="1" customHeight="1" thickBot="1">
      <c r="A1662" s="2195"/>
      <c r="B1662" s="2393"/>
      <c r="C1662" s="2114" t="s">
        <v>303</v>
      </c>
      <c r="D1662" s="2618" t="s">
        <v>1022</v>
      </c>
      <c r="E1662" s="1873">
        <v>0</v>
      </c>
      <c r="F1662" s="1873">
        <v>4652</v>
      </c>
      <c r="G1662" s="1872">
        <v>0</v>
      </c>
      <c r="H1662" s="2617">
        <f t="shared" si="118"/>
        <v>0</v>
      </c>
    </row>
    <row r="1663" spans="1:10" ht="17.100000000000001" hidden="1" customHeight="1" thickBot="1">
      <c r="A1663" s="2616" t="s">
        <v>1204</v>
      </c>
      <c r="B1663" s="2616"/>
      <c r="C1663" s="2615"/>
      <c r="D1663" s="2614" t="s">
        <v>1203</v>
      </c>
      <c r="E1663" s="2613">
        <v>0</v>
      </c>
      <c r="F1663" s="2526"/>
      <c r="G1663" s="1903"/>
      <c r="H1663" s="2545" t="e">
        <f t="shared" si="118"/>
        <v>#DIV/0!</v>
      </c>
    </row>
    <row r="1664" spans="1:10" ht="17.100000000000001" hidden="1" customHeight="1" thickBot="1">
      <c r="A1664" s="1836"/>
      <c r="B1664" s="2602" t="s">
        <v>1202</v>
      </c>
      <c r="C1664" s="2182"/>
      <c r="D1664" s="2601" t="s">
        <v>163</v>
      </c>
      <c r="E1664" s="2181">
        <v>0</v>
      </c>
      <c r="F1664" s="2607"/>
      <c r="G1664" s="2606"/>
      <c r="H1664" s="2605" t="e">
        <f t="shared" si="118"/>
        <v>#DIV/0!</v>
      </c>
    </row>
    <row r="1665" spans="1:8" ht="17.100000000000001" hidden="1" customHeight="1" thickBot="1">
      <c r="A1665" s="1836"/>
      <c r="B1665" s="4347"/>
      <c r="C1665" s="4349" t="s">
        <v>944</v>
      </c>
      <c r="D1665" s="4350"/>
      <c r="E1665" s="2458">
        <v>0</v>
      </c>
      <c r="F1665" s="2607"/>
      <c r="G1665" s="2606"/>
      <c r="H1665" s="2605" t="e">
        <f t="shared" si="118"/>
        <v>#DIV/0!</v>
      </c>
    </row>
    <row r="1666" spans="1:8" ht="17.100000000000001" hidden="1" customHeight="1" thickBot="1">
      <c r="A1666" s="1836"/>
      <c r="B1666" s="4321"/>
      <c r="C1666" s="4351" t="s">
        <v>967</v>
      </c>
      <c r="D1666" s="4352"/>
      <c r="E1666" s="2607">
        <v>0</v>
      </c>
      <c r="F1666" s="2607"/>
      <c r="G1666" s="2606"/>
      <c r="H1666" s="2605" t="e">
        <f t="shared" si="118"/>
        <v>#DIV/0!</v>
      </c>
    </row>
    <row r="1667" spans="1:8" ht="17.100000000000001" hidden="1" customHeight="1" thickBot="1">
      <c r="A1667" s="1836"/>
      <c r="B1667" s="4321"/>
      <c r="C1667" s="4353" t="s">
        <v>961</v>
      </c>
      <c r="D1667" s="4354"/>
      <c r="E1667" s="2612">
        <v>0</v>
      </c>
      <c r="F1667" s="2607"/>
      <c r="G1667" s="2606"/>
      <c r="H1667" s="2605" t="e">
        <f t="shared" si="118"/>
        <v>#DIV/0!</v>
      </c>
    </row>
    <row r="1668" spans="1:8" ht="17.100000000000001" hidden="1" customHeight="1" thickBot="1">
      <c r="A1668" s="1836"/>
      <c r="B1668" s="4321"/>
      <c r="C1668" s="2609" t="s">
        <v>959</v>
      </c>
      <c r="D1668" s="2610" t="s">
        <v>958</v>
      </c>
      <c r="E1668" s="2607">
        <v>0</v>
      </c>
      <c r="F1668" s="2607"/>
      <c r="G1668" s="2606"/>
      <c r="H1668" s="2605" t="e">
        <f t="shared" si="118"/>
        <v>#DIV/0!</v>
      </c>
    </row>
    <row r="1669" spans="1:8" ht="17.100000000000001" hidden="1" customHeight="1" thickBot="1">
      <c r="A1669" s="1836"/>
      <c r="B1669" s="4321"/>
      <c r="C1669" s="2609" t="s">
        <v>1122</v>
      </c>
      <c r="D1669" s="2610" t="s">
        <v>1118</v>
      </c>
      <c r="E1669" s="2607">
        <v>0</v>
      </c>
      <c r="F1669" s="2607"/>
      <c r="G1669" s="2606"/>
      <c r="H1669" s="2605" t="e">
        <f t="shared" si="118"/>
        <v>#DIV/0!</v>
      </c>
    </row>
    <row r="1670" spans="1:8" ht="17.100000000000001" hidden="1" customHeight="1" thickBot="1">
      <c r="A1670" s="1836"/>
      <c r="B1670" s="4321"/>
      <c r="C1670" s="2609"/>
      <c r="D1670" s="2608"/>
      <c r="E1670" s="2607"/>
      <c r="F1670" s="2607"/>
      <c r="G1670" s="2606"/>
      <c r="H1670" s="2605" t="e">
        <f t="shared" si="118"/>
        <v>#DIV/0!</v>
      </c>
    </row>
    <row r="1671" spans="1:8" ht="17.100000000000001" hidden="1" customHeight="1" thickBot="1">
      <c r="A1671" s="1836"/>
      <c r="B1671" s="4321"/>
      <c r="C1671" s="4355" t="s">
        <v>976</v>
      </c>
      <c r="D1671" s="4356"/>
      <c r="E1671" s="2607">
        <v>0</v>
      </c>
      <c r="F1671" s="2607"/>
      <c r="G1671" s="2606"/>
      <c r="H1671" s="2605" t="e">
        <f t="shared" si="118"/>
        <v>#DIV/0!</v>
      </c>
    </row>
    <row r="1672" spans="1:8" ht="17.100000000000001" hidden="1" customHeight="1" thickBot="1">
      <c r="A1672" s="1836"/>
      <c r="B1672" s="4321"/>
      <c r="C1672" s="2611" t="s">
        <v>1201</v>
      </c>
      <c r="D1672" s="2610" t="s">
        <v>1200</v>
      </c>
      <c r="E1672" s="2607">
        <v>0</v>
      </c>
      <c r="F1672" s="2607"/>
      <c r="G1672" s="2606"/>
      <c r="H1672" s="2605" t="e">
        <f t="shared" si="118"/>
        <v>#DIV/0!</v>
      </c>
    </row>
    <row r="1673" spans="1:8" ht="17.100000000000001" hidden="1" customHeight="1" thickBot="1">
      <c r="A1673" s="1836"/>
      <c r="B1673" s="4321"/>
      <c r="C1673" s="2609"/>
      <c r="D1673" s="2608"/>
      <c r="E1673" s="2607"/>
      <c r="F1673" s="2607"/>
      <c r="G1673" s="2606"/>
      <c r="H1673" s="2605" t="e">
        <f t="shared" si="118"/>
        <v>#DIV/0!</v>
      </c>
    </row>
    <row r="1674" spans="1:8" ht="17.100000000000001" hidden="1" customHeight="1" thickBot="1">
      <c r="A1674" s="1836"/>
      <c r="B1674" s="4321"/>
      <c r="C1674" s="4357" t="s">
        <v>1199</v>
      </c>
      <c r="D1674" s="4358"/>
      <c r="E1674" s="2607">
        <v>0</v>
      </c>
      <c r="F1674" s="2607"/>
      <c r="G1674" s="2606"/>
      <c r="H1674" s="2605" t="e">
        <f t="shared" si="118"/>
        <v>#DIV/0!</v>
      </c>
    </row>
    <row r="1675" spans="1:8" ht="17.100000000000001" hidden="1" customHeight="1" thickBot="1">
      <c r="A1675" s="1836"/>
      <c r="B1675" s="4348"/>
      <c r="C1675" s="2604" t="s">
        <v>949</v>
      </c>
      <c r="D1675" s="2603" t="s">
        <v>948</v>
      </c>
      <c r="E1675" s="2192">
        <v>0</v>
      </c>
      <c r="F1675" s="1897"/>
      <c r="G1675" s="1896"/>
      <c r="H1675" s="2354" t="e">
        <f t="shared" si="118"/>
        <v>#DIV/0!</v>
      </c>
    </row>
    <row r="1676" spans="1:8" ht="17.100000000000001" hidden="1" customHeight="1" thickBot="1">
      <c r="A1676" s="1836"/>
      <c r="B1676" s="2602" t="s">
        <v>1198</v>
      </c>
      <c r="C1676" s="2182"/>
      <c r="D1676" s="2601" t="s">
        <v>50</v>
      </c>
      <c r="E1676" s="2181">
        <v>0</v>
      </c>
      <c r="F1676" s="1897"/>
      <c r="G1676" s="1896"/>
      <c r="H1676" s="2354" t="e">
        <f t="shared" si="118"/>
        <v>#DIV/0!</v>
      </c>
    </row>
    <row r="1677" spans="1:8" ht="17.100000000000001" hidden="1" customHeight="1" thickBot="1">
      <c r="A1677" s="1836"/>
      <c r="B1677" s="4321"/>
      <c r="C1677" s="4322" t="s">
        <v>944</v>
      </c>
      <c r="D1677" s="4323"/>
      <c r="E1677" s="2514">
        <v>0</v>
      </c>
      <c r="F1677" s="1897"/>
      <c r="G1677" s="1896"/>
      <c r="H1677" s="2354" t="e">
        <f t="shared" si="118"/>
        <v>#DIV/0!</v>
      </c>
    </row>
    <row r="1678" spans="1:8" ht="17.100000000000001" hidden="1" customHeight="1" thickBot="1">
      <c r="A1678" s="1836"/>
      <c r="B1678" s="4321"/>
      <c r="C1678" s="4324" t="s">
        <v>967</v>
      </c>
      <c r="D1678" s="4325"/>
      <c r="E1678" s="1897">
        <v>0</v>
      </c>
      <c r="F1678" s="1897"/>
      <c r="G1678" s="1896"/>
      <c r="H1678" s="2354" t="e">
        <f t="shared" si="118"/>
        <v>#DIV/0!</v>
      </c>
    </row>
    <row r="1679" spans="1:8" ht="17.100000000000001" hidden="1" customHeight="1" thickBot="1">
      <c r="A1679" s="1836"/>
      <c r="B1679" s="4321"/>
      <c r="C1679" s="4326" t="s">
        <v>961</v>
      </c>
      <c r="D1679" s="4327"/>
      <c r="E1679" s="2600">
        <v>0</v>
      </c>
      <c r="F1679" s="1897"/>
      <c r="G1679" s="1896"/>
      <c r="H1679" s="2354" t="e">
        <f t="shared" si="118"/>
        <v>#DIV/0!</v>
      </c>
    </row>
    <row r="1680" spans="1:8" ht="17.100000000000001" hidden="1" customHeight="1" thickBot="1">
      <c r="A1680" s="1836"/>
      <c r="B1680" s="4321"/>
      <c r="C1680" s="2599" t="s">
        <v>959</v>
      </c>
      <c r="D1680" s="2598" t="s">
        <v>958</v>
      </c>
      <c r="E1680" s="2597">
        <v>0</v>
      </c>
      <c r="F1680" s="1897"/>
      <c r="G1680" s="1896"/>
      <c r="H1680" s="2354" t="e">
        <f t="shared" si="118"/>
        <v>#DIV/0!</v>
      </c>
    </row>
    <row r="1681" spans="1:10" ht="17.100000000000001" hidden="1" customHeight="1" thickBot="1">
      <c r="A1681" s="1836"/>
      <c r="B1681" s="2373"/>
      <c r="C1681" s="4328"/>
      <c r="D1681" s="4329"/>
      <c r="E1681" s="2597"/>
      <c r="F1681" s="1897"/>
      <c r="G1681" s="1896"/>
      <c r="H1681" s="2354" t="e">
        <f t="shared" si="118"/>
        <v>#DIV/0!</v>
      </c>
    </row>
    <row r="1682" spans="1:10" ht="17.100000000000001" hidden="1" customHeight="1" thickBot="1">
      <c r="A1682" s="1836"/>
      <c r="B1682" s="2373"/>
      <c r="C1682" s="4330" t="s">
        <v>913</v>
      </c>
      <c r="D1682" s="4331"/>
      <c r="E1682" s="1897">
        <v>0</v>
      </c>
      <c r="F1682" s="1897"/>
      <c r="G1682" s="1896"/>
      <c r="H1682" s="2354" t="e">
        <f t="shared" si="118"/>
        <v>#DIV/0!</v>
      </c>
    </row>
    <row r="1683" spans="1:10" ht="39" hidden="1" customHeight="1" thickBot="1">
      <c r="A1683" s="1836"/>
      <c r="B1683" s="2373"/>
      <c r="C1683" s="2596" t="s">
        <v>1197</v>
      </c>
      <c r="D1683" s="2595" t="s">
        <v>1196</v>
      </c>
      <c r="E1683" s="2510">
        <v>0</v>
      </c>
      <c r="F1683" s="1897"/>
      <c r="G1683" s="1896"/>
      <c r="H1683" s="2354" t="e">
        <f t="shared" si="118"/>
        <v>#DIV/0!</v>
      </c>
    </row>
    <row r="1684" spans="1:10" ht="39" hidden="1" customHeight="1" thickBot="1">
      <c r="A1684" s="1836"/>
      <c r="B1684" s="2373"/>
      <c r="C1684" s="2596" t="s">
        <v>1195</v>
      </c>
      <c r="D1684" s="2595" t="s">
        <v>1194</v>
      </c>
      <c r="E1684" s="2510">
        <v>0</v>
      </c>
      <c r="F1684" s="1897"/>
      <c r="G1684" s="1896"/>
      <c r="H1684" s="2354" t="e">
        <f t="shared" si="118"/>
        <v>#DIV/0!</v>
      </c>
    </row>
    <row r="1685" spans="1:10" ht="14.25" hidden="1" customHeight="1" thickBot="1">
      <c r="A1685" s="1836"/>
      <c r="B1685" s="2373"/>
      <c r="C1685" s="2373"/>
      <c r="D1685" s="2595"/>
      <c r="E1685" s="1897"/>
      <c r="F1685" s="1897"/>
      <c r="G1685" s="1896"/>
      <c r="H1685" s="2354" t="e">
        <f t="shared" si="118"/>
        <v>#DIV/0!</v>
      </c>
    </row>
    <row r="1686" spans="1:10" ht="17.25" hidden="1" customHeight="1" thickBot="1">
      <c r="A1686" s="1836"/>
      <c r="B1686" s="2373"/>
      <c r="C1686" s="4332" t="s">
        <v>941</v>
      </c>
      <c r="D1686" s="4333"/>
      <c r="E1686" s="2594">
        <v>0</v>
      </c>
      <c r="F1686" s="1897"/>
      <c r="G1686" s="1896"/>
      <c r="H1686" s="2354" t="e">
        <f t="shared" si="118"/>
        <v>#DIV/0!</v>
      </c>
    </row>
    <row r="1687" spans="1:10" ht="17.25" hidden="1" customHeight="1" thickBot="1">
      <c r="A1687" s="1836"/>
      <c r="B1687" s="2373"/>
      <c r="C1687" s="4334" t="s">
        <v>940</v>
      </c>
      <c r="D1687" s="4335"/>
      <c r="E1687" s="1897">
        <v>0</v>
      </c>
      <c r="F1687" s="1897"/>
      <c r="G1687" s="1896"/>
      <c r="H1687" s="2354" t="e">
        <f t="shared" si="118"/>
        <v>#DIV/0!</v>
      </c>
    </row>
    <row r="1688" spans="1:10" ht="39" hidden="1" customHeight="1" thickBot="1">
      <c r="A1688" s="1836"/>
      <c r="B1688" s="2373"/>
      <c r="C1688" s="2593" t="s">
        <v>594</v>
      </c>
      <c r="D1688" s="2592" t="s">
        <v>1018</v>
      </c>
      <c r="E1688" s="1897">
        <v>0</v>
      </c>
      <c r="F1688" s="1897"/>
      <c r="G1688" s="1896"/>
      <c r="H1688" s="2354" t="e">
        <f t="shared" si="118"/>
        <v>#DIV/0!</v>
      </c>
    </row>
    <row r="1689" spans="1:10" ht="42" hidden="1" customHeight="1" thickBot="1">
      <c r="A1689" s="1836"/>
      <c r="B1689" s="2373"/>
      <c r="C1689" s="2591" t="s">
        <v>1152</v>
      </c>
      <c r="D1689" s="2590" t="s">
        <v>1151</v>
      </c>
      <c r="E1689" s="1897">
        <v>0</v>
      </c>
      <c r="F1689" s="1897"/>
      <c r="G1689" s="1896"/>
      <c r="H1689" s="2451" t="e">
        <f t="shared" si="118"/>
        <v>#DIV/0!</v>
      </c>
    </row>
    <row r="1690" spans="1:10" s="1906" customFormat="1" ht="17.100000000000001" customHeight="1" thickBot="1">
      <c r="A1690" s="2074" t="s">
        <v>835</v>
      </c>
      <c r="B1690" s="2074"/>
      <c r="C1690" s="2589"/>
      <c r="D1690" s="2588" t="s">
        <v>1193</v>
      </c>
      <c r="E1690" s="2070">
        <f>SUM(E1691,E1711,E1723,E1731,E1739,E1756,E1760,E1774,E1779,E1790)</f>
        <v>117100829</v>
      </c>
      <c r="F1690" s="2070">
        <f>SUM(F1691,F1711,F1723,F1731,F1739,F1756,F1760,F1774,F1779,F1790)</f>
        <v>143088272</v>
      </c>
      <c r="G1690" s="2069">
        <f>SUM(G1691,G1711,G1723,G1731,G1739,G1756,G1760,G1774,G1779,G1790)</f>
        <v>173071038</v>
      </c>
      <c r="H1690" s="2068">
        <f t="shared" si="118"/>
        <v>1.2095403458363101</v>
      </c>
      <c r="J1690" s="1702"/>
    </row>
    <row r="1691" spans="1:10" s="1906" customFormat="1" ht="17.100000000000001" customHeight="1" thickBot="1">
      <c r="A1691" s="1923"/>
      <c r="B1691" s="2587" t="s">
        <v>637</v>
      </c>
      <c r="C1691" s="1985"/>
      <c r="D1691" s="2365" t="s">
        <v>305</v>
      </c>
      <c r="E1691" s="1968">
        <f>SUM(E1692,E1701)</f>
        <v>83037325</v>
      </c>
      <c r="F1691" s="1968">
        <f>SUM(F1692,F1701)</f>
        <v>90946704</v>
      </c>
      <c r="G1691" s="1967">
        <f>SUM(G1692,G1701)</f>
        <v>132102570</v>
      </c>
      <c r="H1691" s="1966">
        <f t="shared" si="118"/>
        <v>1.4525272955466313</v>
      </c>
      <c r="J1691" s="1702"/>
    </row>
    <row r="1692" spans="1:10" s="1906" customFormat="1" ht="17.100000000000001" customHeight="1">
      <c r="A1692" s="1923"/>
      <c r="B1692" s="2574"/>
      <c r="C1692" s="4135" t="s">
        <v>944</v>
      </c>
      <c r="D1692" s="4336"/>
      <c r="E1692" s="2008">
        <f>SUM(E1697)</f>
        <v>2642880</v>
      </c>
      <c r="F1692" s="2008">
        <f>SUM(F1697)</f>
        <v>987514</v>
      </c>
      <c r="G1692" s="2007">
        <f>SUM(G1697)</f>
        <v>2119261</v>
      </c>
      <c r="H1692" s="2508">
        <f t="shared" si="118"/>
        <v>2.1460566635004668</v>
      </c>
      <c r="J1692" s="1702"/>
    </row>
    <row r="1693" spans="1:10" s="1906" customFormat="1" ht="17.100000000000001" hidden="1" customHeight="1">
      <c r="A1693" s="1923"/>
      <c r="B1693" s="2574"/>
      <c r="C1693" s="4309" t="s">
        <v>967</v>
      </c>
      <c r="D1693" s="4310"/>
      <c r="E1693" s="1975">
        <v>0</v>
      </c>
      <c r="F1693" s="1975">
        <v>0</v>
      </c>
      <c r="G1693" s="2271">
        <v>0</v>
      </c>
      <c r="H1693" s="2311" t="e">
        <f t="shared" si="118"/>
        <v>#DIV/0!</v>
      </c>
      <c r="J1693" s="1702"/>
    </row>
    <row r="1694" spans="1:10" s="1906" customFormat="1" ht="17.100000000000001" hidden="1" customHeight="1">
      <c r="A1694" s="1923"/>
      <c r="B1694" s="2574"/>
      <c r="C1694" s="4311" t="s">
        <v>961</v>
      </c>
      <c r="D1694" s="4312"/>
      <c r="E1694" s="2583">
        <v>0</v>
      </c>
      <c r="F1694" s="2583">
        <v>0</v>
      </c>
      <c r="G1694" s="2582">
        <v>0</v>
      </c>
      <c r="H1694" s="2581" t="e">
        <f t="shared" si="118"/>
        <v>#DIV/0!</v>
      </c>
      <c r="J1694" s="1702"/>
    </row>
    <row r="1695" spans="1:10" s="1906" customFormat="1" ht="27" hidden="1" customHeight="1">
      <c r="A1695" s="1923"/>
      <c r="B1695" s="2574"/>
      <c r="C1695" s="2586" t="s">
        <v>1182</v>
      </c>
      <c r="D1695" s="2585" t="s">
        <v>1181</v>
      </c>
      <c r="E1695" s="2496">
        <v>0</v>
      </c>
      <c r="F1695" s="2496">
        <v>0</v>
      </c>
      <c r="G1695" s="1929">
        <v>0</v>
      </c>
      <c r="H1695" s="2581" t="e">
        <f t="shared" si="118"/>
        <v>#DIV/0!</v>
      </c>
      <c r="J1695" s="1702"/>
    </row>
    <row r="1696" spans="1:10" s="1906" customFormat="1" ht="15.75" hidden="1" customHeight="1">
      <c r="A1696" s="1923"/>
      <c r="B1696" s="2574"/>
      <c r="C1696" s="1923"/>
      <c r="D1696" s="2584"/>
      <c r="E1696" s="1975"/>
      <c r="F1696" s="1975"/>
      <c r="G1696" s="2271"/>
      <c r="H1696" s="2581" t="e">
        <f t="shared" si="118"/>
        <v>#DIV/0!</v>
      </c>
      <c r="J1696" s="1702"/>
    </row>
    <row r="1697" spans="1:10" s="1906" customFormat="1" ht="17.100000000000001" customHeight="1">
      <c r="A1697" s="1923"/>
      <c r="B1697" s="2574"/>
      <c r="C1697" s="4313" t="s">
        <v>913</v>
      </c>
      <c r="D1697" s="4314"/>
      <c r="E1697" s="2583">
        <f>SUM(E1699)</f>
        <v>2642880</v>
      </c>
      <c r="F1697" s="2583">
        <f>SUM(F1699)</f>
        <v>987514</v>
      </c>
      <c r="G1697" s="2582">
        <f>SUM(G1699)</f>
        <v>2119261</v>
      </c>
      <c r="H1697" s="2581">
        <f t="shared" si="118"/>
        <v>2.1460566635004668</v>
      </c>
      <c r="J1697" s="1702"/>
    </row>
    <row r="1698" spans="1:10" s="1906" customFormat="1" ht="71.25" hidden="1" customHeight="1">
      <c r="A1698" s="1923"/>
      <c r="B1698" s="2574"/>
      <c r="C1698" s="2580" t="s">
        <v>359</v>
      </c>
      <c r="D1698" s="2579" t="s">
        <v>1192</v>
      </c>
      <c r="E1698" s="1919">
        <v>0</v>
      </c>
      <c r="F1698" s="1919"/>
      <c r="G1698" s="1918"/>
      <c r="H1698" s="2311" t="e">
        <f t="shared" si="118"/>
        <v>#DIV/0!</v>
      </c>
      <c r="J1698" s="1702"/>
    </row>
    <row r="1699" spans="1:10" s="1906" customFormat="1" ht="28.5" customHeight="1">
      <c r="A1699" s="1922"/>
      <c r="B1699" s="2574"/>
      <c r="C1699" s="2297" t="s">
        <v>1165</v>
      </c>
      <c r="D1699" s="2578" t="s">
        <v>1173</v>
      </c>
      <c r="E1699" s="1919">
        <v>2642880</v>
      </c>
      <c r="F1699" s="1919">
        <v>987514</v>
      </c>
      <c r="G1699" s="1918">
        <v>2119261</v>
      </c>
      <c r="H1699" s="2311">
        <f t="shared" si="118"/>
        <v>2.1460566635004668</v>
      </c>
      <c r="J1699" s="1702" t="s">
        <v>1086</v>
      </c>
    </row>
    <row r="1700" spans="1:10" s="1906" customFormat="1" ht="14.25" customHeight="1">
      <c r="A1700" s="1923"/>
      <c r="B1700" s="2577"/>
      <c r="C1700" s="2575"/>
      <c r="D1700" s="2576"/>
      <c r="E1700" s="2575"/>
      <c r="F1700" s="2496"/>
      <c r="G1700" s="1929"/>
      <c r="H1700" s="2497"/>
      <c r="J1700" s="1702"/>
    </row>
    <row r="1701" spans="1:10" s="1906" customFormat="1" ht="17.100000000000001" customHeight="1">
      <c r="A1701" s="1923"/>
      <c r="B1701" s="2574"/>
      <c r="C1701" s="4315" t="s">
        <v>941</v>
      </c>
      <c r="D1701" s="4316"/>
      <c r="E1701" s="1927">
        <f>SUM(E1702)</f>
        <v>80394445</v>
      </c>
      <c r="F1701" s="1927">
        <f>SUM(F1702)</f>
        <v>89959190</v>
      </c>
      <c r="G1701" s="1926">
        <f>SUM(G1702)</f>
        <v>129983309</v>
      </c>
      <c r="H1701" s="2475">
        <f>G1701/F1701</f>
        <v>1.4449141771952372</v>
      </c>
      <c r="J1701" s="1702"/>
    </row>
    <row r="1702" spans="1:10" s="1906" customFormat="1" ht="17.100000000000001" customHeight="1">
      <c r="A1702" s="1923"/>
      <c r="B1702" s="2574"/>
      <c r="C1702" s="4270" t="s">
        <v>940</v>
      </c>
      <c r="D1702" s="4317"/>
      <c r="E1702" s="1919">
        <f>SUM(E1704:E1706)</f>
        <v>80394445</v>
      </c>
      <c r="F1702" s="1919">
        <f>SUM(F1703:F1706)</f>
        <v>89959190</v>
      </c>
      <c r="G1702" s="1918">
        <f>SUM(G1703:G1706)</f>
        <v>129983309</v>
      </c>
      <c r="H1702" s="2311">
        <f>G1702/F1702</f>
        <v>1.4449141771952372</v>
      </c>
      <c r="J1702" s="1702"/>
    </row>
    <row r="1703" spans="1:10" s="1906" customFormat="1" ht="29.25" hidden="1" customHeight="1">
      <c r="A1703" s="1923"/>
      <c r="B1703" s="2574"/>
      <c r="C1703" s="2428" t="s">
        <v>1191</v>
      </c>
      <c r="D1703" s="2572" t="s">
        <v>1190</v>
      </c>
      <c r="E1703" s="1919"/>
      <c r="F1703" s="1919">
        <v>0</v>
      </c>
      <c r="G1703" s="1918">
        <v>0</v>
      </c>
      <c r="H1703" s="2311"/>
      <c r="J1703" s="1702" t="s">
        <v>1086</v>
      </c>
    </row>
    <row r="1704" spans="1:10" s="1906" customFormat="1" ht="60.75" customHeight="1">
      <c r="A1704" s="1923"/>
      <c r="B1704" s="2573"/>
      <c r="C1704" s="2428" t="s">
        <v>540</v>
      </c>
      <c r="D1704" s="2572" t="s">
        <v>1136</v>
      </c>
      <c r="E1704" s="1919">
        <v>6435646</v>
      </c>
      <c r="F1704" s="1919">
        <v>6135339</v>
      </c>
      <c r="G1704" s="1918">
        <v>11191126</v>
      </c>
      <c r="H1704" s="2311">
        <f t="shared" ref="H1704:H1718" si="119">G1704/F1704</f>
        <v>1.8240436266031919</v>
      </c>
      <c r="J1704" s="1702" t="s">
        <v>1025</v>
      </c>
    </row>
    <row r="1705" spans="1:10" s="1906" customFormat="1" ht="49.5" customHeight="1" thickBot="1">
      <c r="A1705" s="1913"/>
      <c r="B1705" s="2571"/>
      <c r="C1705" s="2541" t="s">
        <v>594</v>
      </c>
      <c r="D1705" s="2570" t="s">
        <v>1018</v>
      </c>
      <c r="E1705" s="1916">
        <v>73958799</v>
      </c>
      <c r="F1705" s="1916">
        <v>82930882</v>
      </c>
      <c r="G1705" s="1915">
        <f>108792183+10000000</f>
        <v>118792183</v>
      </c>
      <c r="H1705" s="2311">
        <f t="shared" si="119"/>
        <v>1.4324239672261052</v>
      </c>
      <c r="J1705" s="1702" t="s">
        <v>1086</v>
      </c>
    </row>
    <row r="1706" spans="1:10" s="1906" customFormat="1" ht="33.75" hidden="1" customHeight="1" thickBot="1">
      <c r="A1706" s="1923"/>
      <c r="B1706" s="2557"/>
      <c r="C1706" s="1974" t="s">
        <v>303</v>
      </c>
      <c r="D1706" s="1973" t="s">
        <v>1022</v>
      </c>
      <c r="E1706" s="2496">
        <v>0</v>
      </c>
      <c r="F1706" s="2496">
        <v>892969</v>
      </c>
      <c r="G1706" s="1929">
        <v>0</v>
      </c>
      <c r="H1706" s="2311">
        <f t="shared" si="119"/>
        <v>0</v>
      </c>
      <c r="J1706" s="1702"/>
    </row>
    <row r="1707" spans="1:10" ht="15" hidden="1" customHeight="1" thickBot="1">
      <c r="A1707" s="1836"/>
      <c r="B1707" s="1829" t="s">
        <v>1189</v>
      </c>
      <c r="C1707" s="1828"/>
      <c r="D1707" s="1827" t="s">
        <v>1188</v>
      </c>
      <c r="E1707" s="2181">
        <v>0</v>
      </c>
      <c r="F1707" s="1897"/>
      <c r="G1707" s="1896"/>
      <c r="H1707" s="2354" t="e">
        <f t="shared" si="119"/>
        <v>#DIV/0!</v>
      </c>
    </row>
    <row r="1708" spans="1:10" ht="18.75" hidden="1" customHeight="1" thickBot="1">
      <c r="A1708" s="1836"/>
      <c r="B1708" s="2556"/>
      <c r="C1708" s="4318" t="s">
        <v>941</v>
      </c>
      <c r="D1708" s="4319"/>
      <c r="E1708" s="1897">
        <v>0</v>
      </c>
      <c r="F1708" s="1897"/>
      <c r="G1708" s="1896"/>
      <c r="H1708" s="2354" t="e">
        <f t="shared" si="119"/>
        <v>#DIV/0!</v>
      </c>
    </row>
    <row r="1709" spans="1:10" ht="15.75" hidden="1" customHeight="1" thickBot="1">
      <c r="A1709" s="1836"/>
      <c r="B1709" s="2556"/>
      <c r="C1709" s="4212" t="s">
        <v>1187</v>
      </c>
      <c r="D1709" s="4320"/>
      <c r="E1709" s="1897">
        <v>0</v>
      </c>
      <c r="F1709" s="1897"/>
      <c r="G1709" s="1896"/>
      <c r="H1709" s="2354" t="e">
        <f t="shared" si="119"/>
        <v>#DIV/0!</v>
      </c>
    </row>
    <row r="1710" spans="1:10" ht="39.75" hidden="1" customHeight="1" thickBot="1">
      <c r="A1710" s="1836"/>
      <c r="B1710" s="2556"/>
      <c r="C1710" s="2569" t="s">
        <v>1186</v>
      </c>
      <c r="D1710" s="2511" t="s">
        <v>1185</v>
      </c>
      <c r="E1710" s="2510">
        <v>0</v>
      </c>
      <c r="F1710" s="2510"/>
      <c r="G1710" s="2544"/>
      <c r="H1710" s="2451" t="e">
        <f t="shared" si="119"/>
        <v>#DIV/0!</v>
      </c>
    </row>
    <row r="1711" spans="1:10" s="1906" customFormat="1" ht="15" customHeight="1" thickBot="1">
      <c r="A1711" s="1954"/>
      <c r="B1711" s="2568" t="s">
        <v>1184</v>
      </c>
      <c r="C1711" s="2567"/>
      <c r="D1711" s="2566" t="s">
        <v>1183</v>
      </c>
      <c r="E1711" s="1968">
        <f>SUM(E1712,E1720)</f>
        <v>6340245</v>
      </c>
      <c r="F1711" s="1968">
        <f>SUM(F1712,F1720)</f>
        <v>9978061</v>
      </c>
      <c r="G1711" s="1967">
        <f>SUM(G1712,G1720)</f>
        <v>10896205</v>
      </c>
      <c r="H1711" s="1966">
        <f t="shared" si="119"/>
        <v>1.0920162745046358</v>
      </c>
      <c r="J1711" s="1702" t="s">
        <v>1086</v>
      </c>
    </row>
    <row r="1712" spans="1:10" s="1906" customFormat="1" ht="15">
      <c r="A1712" s="1923"/>
      <c r="B1712" s="2014"/>
      <c r="C1712" s="4302" t="s">
        <v>944</v>
      </c>
      <c r="D1712" s="4288"/>
      <c r="E1712" s="2549">
        <f>SUM(E1717)</f>
        <v>30000</v>
      </c>
      <c r="F1712" s="2549">
        <f>SUM(F1717)</f>
        <v>30000</v>
      </c>
      <c r="G1712" s="2548">
        <f>SUM(G1717)</f>
        <v>149808</v>
      </c>
      <c r="H1712" s="2508">
        <f t="shared" si="119"/>
        <v>4.9935999999999998</v>
      </c>
      <c r="J1712" s="1702"/>
    </row>
    <row r="1713" spans="1:10" s="1906" customFormat="1" ht="12.75" hidden="1" customHeight="1" thickBot="1">
      <c r="A1713" s="1923"/>
      <c r="B1713" s="2014"/>
      <c r="C1713" s="4260" t="s">
        <v>967</v>
      </c>
      <c r="D1713" s="4260"/>
      <c r="E1713" s="2564">
        <v>0</v>
      </c>
      <c r="F1713" s="2564">
        <v>0</v>
      </c>
      <c r="G1713" s="2563">
        <v>0</v>
      </c>
      <c r="H1713" s="2311" t="e">
        <f t="shared" si="119"/>
        <v>#DIV/0!</v>
      </c>
      <c r="J1713" s="1702"/>
    </row>
    <row r="1714" spans="1:10" s="1906" customFormat="1" ht="12.75" hidden="1" customHeight="1">
      <c r="A1714" s="1923"/>
      <c r="B1714" s="2014"/>
      <c r="C1714" s="4289" t="s">
        <v>961</v>
      </c>
      <c r="D1714" s="4289"/>
      <c r="E1714" s="2564">
        <v>0</v>
      </c>
      <c r="F1714" s="2564">
        <v>0</v>
      </c>
      <c r="G1714" s="2563">
        <v>0</v>
      </c>
      <c r="H1714" s="2311" t="e">
        <f t="shared" si="119"/>
        <v>#DIV/0!</v>
      </c>
      <c r="J1714" s="1702"/>
    </row>
    <row r="1715" spans="1:10" s="1906" customFormat="1" ht="25.5" hidden="1" customHeight="1">
      <c r="A1715" s="1923"/>
      <c r="B1715" s="2014"/>
      <c r="C1715" s="2405" t="s">
        <v>1182</v>
      </c>
      <c r="D1715" s="2565" t="s">
        <v>1181</v>
      </c>
      <c r="E1715" s="2564">
        <v>0</v>
      </c>
      <c r="F1715" s="2564">
        <v>0</v>
      </c>
      <c r="G1715" s="2563">
        <v>0</v>
      </c>
      <c r="H1715" s="2311" t="e">
        <f t="shared" si="119"/>
        <v>#DIV/0!</v>
      </c>
      <c r="J1715" s="1702"/>
    </row>
    <row r="1716" spans="1:10" s="1906" customFormat="1" ht="15" hidden="1" customHeight="1">
      <c r="A1716" s="1923"/>
      <c r="B1716" s="2014"/>
      <c r="C1716" s="2562"/>
      <c r="D1716" s="2561"/>
      <c r="E1716" s="2549"/>
      <c r="F1716" s="2549"/>
      <c r="G1716" s="2548"/>
      <c r="H1716" s="2311" t="e">
        <f t="shared" si="119"/>
        <v>#DIV/0!</v>
      </c>
      <c r="J1716" s="1702"/>
    </row>
    <row r="1717" spans="1:10" s="1906" customFormat="1" ht="15">
      <c r="A1717" s="1923"/>
      <c r="B1717" s="2014"/>
      <c r="C1717" s="4303" t="s">
        <v>913</v>
      </c>
      <c r="D1717" s="4304"/>
      <c r="E1717" s="1987">
        <f>SUM(E1718)</f>
        <v>30000</v>
      </c>
      <c r="F1717" s="1987">
        <f>SUM(F1718)</f>
        <v>30000</v>
      </c>
      <c r="G1717" s="2038">
        <f>SUM(G1718)</f>
        <v>149808</v>
      </c>
      <c r="H1717" s="2311">
        <f t="shared" si="119"/>
        <v>4.9935999999999998</v>
      </c>
      <c r="J1717" s="1702"/>
    </row>
    <row r="1718" spans="1:10" s="1906" customFormat="1" ht="41.25" customHeight="1">
      <c r="A1718" s="1923"/>
      <c r="B1718" s="2014"/>
      <c r="C1718" s="2552" t="s">
        <v>1165</v>
      </c>
      <c r="D1718" s="2551" t="s">
        <v>1173</v>
      </c>
      <c r="E1718" s="1987">
        <v>30000</v>
      </c>
      <c r="F1718" s="1919">
        <v>30000</v>
      </c>
      <c r="G1718" s="1918">
        <v>149808</v>
      </c>
      <c r="H1718" s="2311">
        <f t="shared" si="119"/>
        <v>4.9935999999999998</v>
      </c>
      <c r="J1718" s="1702"/>
    </row>
    <row r="1719" spans="1:10" s="1906" customFormat="1" ht="15">
      <c r="A1719" s="1922"/>
      <c r="B1719" s="2014"/>
      <c r="C1719" s="2560"/>
      <c r="D1719" s="2559"/>
      <c r="E1719" s="2558"/>
      <c r="F1719" s="1919"/>
      <c r="G1719" s="1918"/>
      <c r="H1719" s="2311"/>
      <c r="J1719" s="1702"/>
    </row>
    <row r="1720" spans="1:10" s="1906" customFormat="1" ht="12.75" customHeight="1">
      <c r="A1720" s="1922"/>
      <c r="B1720" s="2014"/>
      <c r="C1720" s="4298" t="s">
        <v>941</v>
      </c>
      <c r="D1720" s="4298"/>
      <c r="E1720" s="2509">
        <f t="shared" ref="E1720:G1721" si="120">SUM(E1721)</f>
        <v>6310245</v>
      </c>
      <c r="F1720" s="2509">
        <f t="shared" si="120"/>
        <v>9948061</v>
      </c>
      <c r="G1720" s="1964">
        <f t="shared" si="120"/>
        <v>10746397</v>
      </c>
      <c r="H1720" s="2508">
        <f t="shared" ref="H1720:H1726" si="121">G1720/F1720</f>
        <v>1.0802504126180972</v>
      </c>
      <c r="J1720" s="1702"/>
    </row>
    <row r="1721" spans="1:10" s="1906" customFormat="1" ht="12.75" customHeight="1">
      <c r="A1721" s="1923"/>
      <c r="B1721" s="2014"/>
      <c r="C1721" s="4268" t="s">
        <v>940</v>
      </c>
      <c r="D1721" s="4268"/>
      <c r="E1721" s="2449">
        <f t="shared" si="120"/>
        <v>6310245</v>
      </c>
      <c r="F1721" s="2449">
        <f t="shared" si="120"/>
        <v>9948061</v>
      </c>
      <c r="G1721" s="2441">
        <f t="shared" si="120"/>
        <v>10746397</v>
      </c>
      <c r="H1721" s="2311">
        <f t="shared" si="121"/>
        <v>1.0802504126180972</v>
      </c>
      <c r="J1721" s="1702"/>
    </row>
    <row r="1722" spans="1:10" s="1906" customFormat="1" ht="42.75" customHeight="1" thickBot="1">
      <c r="A1722" s="1923"/>
      <c r="B1722" s="2379"/>
      <c r="C1722" s="2286" t="s">
        <v>594</v>
      </c>
      <c r="D1722" s="2285" t="s">
        <v>1018</v>
      </c>
      <c r="E1722" s="1916">
        <v>6310245</v>
      </c>
      <c r="F1722" s="1916">
        <v>9948061</v>
      </c>
      <c r="G1722" s="1915">
        <v>10746397</v>
      </c>
      <c r="H1722" s="1907">
        <f t="shared" si="121"/>
        <v>1.0802504126180972</v>
      </c>
      <c r="J1722" s="1702"/>
    </row>
    <row r="1723" spans="1:10" s="1906" customFormat="1" ht="17.100000000000001" customHeight="1" thickBot="1">
      <c r="A1723" s="1922"/>
      <c r="B1723" s="2520" t="s">
        <v>1180</v>
      </c>
      <c r="C1723" s="1970"/>
      <c r="D1723" s="1969" t="s">
        <v>1179</v>
      </c>
      <c r="E1723" s="1968">
        <f>SUM(E1724,E1728)</f>
        <v>3408973</v>
      </c>
      <c r="F1723" s="1968">
        <f>SUM(F1724,F1728)</f>
        <v>3835098</v>
      </c>
      <c r="G1723" s="1967">
        <f>SUM(G1724,G1728)</f>
        <v>3687015</v>
      </c>
      <c r="H1723" s="1966">
        <f t="shared" si="121"/>
        <v>0.96138742738777472</v>
      </c>
      <c r="J1723" s="1702" t="s">
        <v>1086</v>
      </c>
    </row>
    <row r="1724" spans="1:10" s="1906" customFormat="1" ht="15">
      <c r="A1724" s="1923"/>
      <c r="B1724" s="2557"/>
      <c r="C1724" s="4302" t="s">
        <v>944</v>
      </c>
      <c r="D1724" s="4288"/>
      <c r="E1724" s="2549">
        <f t="shared" ref="E1724:G1725" si="122">SUM(E1725)</f>
        <v>550000</v>
      </c>
      <c r="F1724" s="2549">
        <f t="shared" si="122"/>
        <v>550000</v>
      </c>
      <c r="G1724" s="2548">
        <f t="shared" si="122"/>
        <v>550000</v>
      </c>
      <c r="H1724" s="2508">
        <f t="shared" si="121"/>
        <v>1</v>
      </c>
      <c r="J1724" s="1702"/>
    </row>
    <row r="1725" spans="1:10" s="1906" customFormat="1" ht="15">
      <c r="A1725" s="1923"/>
      <c r="B1725" s="2557"/>
      <c r="C1725" s="4303" t="s">
        <v>913</v>
      </c>
      <c r="D1725" s="4304"/>
      <c r="E1725" s="1987">
        <f t="shared" si="122"/>
        <v>550000</v>
      </c>
      <c r="F1725" s="1987">
        <f t="shared" si="122"/>
        <v>550000</v>
      </c>
      <c r="G1725" s="2038">
        <f t="shared" si="122"/>
        <v>550000</v>
      </c>
      <c r="H1725" s="2311">
        <f t="shared" si="121"/>
        <v>1</v>
      </c>
      <c r="J1725" s="1702"/>
    </row>
    <row r="1726" spans="1:10" s="1906" customFormat="1" ht="39.75" customHeight="1">
      <c r="A1726" s="1923"/>
      <c r="B1726" s="2557"/>
      <c r="C1726" s="2552" t="s">
        <v>1165</v>
      </c>
      <c r="D1726" s="2551" t="s">
        <v>1173</v>
      </c>
      <c r="E1726" s="1987">
        <v>550000</v>
      </c>
      <c r="F1726" s="1919">
        <v>550000</v>
      </c>
      <c r="G1726" s="1918">
        <v>550000</v>
      </c>
      <c r="H1726" s="2311">
        <f t="shared" si="121"/>
        <v>1</v>
      </c>
      <c r="J1726" s="1702"/>
    </row>
    <row r="1727" spans="1:10" ht="15">
      <c r="A1727" s="1836"/>
      <c r="B1727" s="2556"/>
      <c r="C1727" s="2555"/>
      <c r="D1727" s="2554"/>
      <c r="E1727" s="2553"/>
      <c r="F1727" s="1897"/>
      <c r="G1727" s="1896"/>
      <c r="H1727" s="2354"/>
    </row>
    <row r="1728" spans="1:10" s="1906" customFormat="1">
      <c r="A1728" s="1923"/>
      <c r="B1728" s="4129"/>
      <c r="C1728" s="4307" t="s">
        <v>941</v>
      </c>
      <c r="D1728" s="4308"/>
      <c r="E1728" s="2509">
        <f t="shared" ref="E1728:G1729" si="123">SUM(E1729)</f>
        <v>2858973</v>
      </c>
      <c r="F1728" s="2509">
        <f t="shared" si="123"/>
        <v>3285098</v>
      </c>
      <c r="G1728" s="1964">
        <f t="shared" si="123"/>
        <v>3137015</v>
      </c>
      <c r="H1728" s="2475">
        <f t="shared" ref="H1728:H1743" si="124">G1728/F1728</f>
        <v>0.95492280595586498</v>
      </c>
      <c r="J1728" s="1702"/>
    </row>
    <row r="1729" spans="1:10" s="1906" customFormat="1">
      <c r="A1729" s="1923"/>
      <c r="B1729" s="4129"/>
      <c r="C1729" s="4259" t="s">
        <v>940</v>
      </c>
      <c r="D1729" s="4259"/>
      <c r="E1729" s="2449">
        <f t="shared" si="123"/>
        <v>2858973</v>
      </c>
      <c r="F1729" s="2449">
        <f t="shared" si="123"/>
        <v>3285098</v>
      </c>
      <c r="G1729" s="2441">
        <f t="shared" si="123"/>
        <v>3137015</v>
      </c>
      <c r="H1729" s="2311">
        <f t="shared" si="124"/>
        <v>0.95492280595586498</v>
      </c>
      <c r="J1729" s="1702"/>
    </row>
    <row r="1730" spans="1:10" s="1906" customFormat="1" ht="42.75" customHeight="1" thickBot="1">
      <c r="A1730" s="1922"/>
      <c r="B1730" s="4151"/>
      <c r="C1730" s="2446" t="s">
        <v>594</v>
      </c>
      <c r="D1730" s="2445" t="s">
        <v>1018</v>
      </c>
      <c r="E1730" s="1916">
        <v>2858973</v>
      </c>
      <c r="F1730" s="1916">
        <v>3285098</v>
      </c>
      <c r="G1730" s="1915">
        <v>3137015</v>
      </c>
      <c r="H1730" s="1907">
        <f t="shared" si="124"/>
        <v>0.95492280595586498</v>
      </c>
      <c r="J1730" s="1702"/>
    </row>
    <row r="1731" spans="1:10" s="1906" customFormat="1" ht="18" customHeight="1" thickBot="1">
      <c r="A1731" s="1923"/>
      <c r="B1731" s="2025" t="s">
        <v>1178</v>
      </c>
      <c r="C1731" s="2024"/>
      <c r="D1731" s="2023" t="s">
        <v>312</v>
      </c>
      <c r="E1731" s="2031">
        <f>SUM(E1736)</f>
        <v>783954</v>
      </c>
      <c r="F1731" s="2031">
        <f>SUM(F1736)</f>
        <v>783954</v>
      </c>
      <c r="G1731" s="2030">
        <f>SUM(G1736)</f>
        <v>2952636</v>
      </c>
      <c r="H1731" s="2029">
        <f t="shared" si="124"/>
        <v>3.7663383310755476</v>
      </c>
      <c r="J1731" s="1702" t="s">
        <v>1086</v>
      </c>
    </row>
    <row r="1732" spans="1:10" s="1906" customFormat="1" ht="15" hidden="1">
      <c r="A1732" s="1923"/>
      <c r="B1732" s="2550"/>
      <c r="C1732" s="4302" t="s">
        <v>944</v>
      </c>
      <c r="D1732" s="4288"/>
      <c r="E1732" s="2549">
        <v>0</v>
      </c>
      <c r="F1732" s="2549">
        <v>0</v>
      </c>
      <c r="G1732" s="2548">
        <v>0</v>
      </c>
      <c r="H1732" s="2508" t="e">
        <f t="shared" si="124"/>
        <v>#DIV/0!</v>
      </c>
      <c r="J1732" s="1702"/>
    </row>
    <row r="1733" spans="1:10" s="1906" customFormat="1" ht="15" hidden="1">
      <c r="A1733" s="1923"/>
      <c r="B1733" s="2550"/>
      <c r="C1733" s="4303" t="s">
        <v>913</v>
      </c>
      <c r="D1733" s="4304"/>
      <c r="E1733" s="1987">
        <v>0</v>
      </c>
      <c r="F1733" s="1987">
        <v>0</v>
      </c>
      <c r="G1733" s="2038">
        <v>0</v>
      </c>
      <c r="H1733" s="2475" t="e">
        <f t="shared" si="124"/>
        <v>#DIV/0!</v>
      </c>
      <c r="J1733" s="1702"/>
    </row>
    <row r="1734" spans="1:10" s="1906" customFormat="1" ht="33.75" hidden="1" customHeight="1">
      <c r="A1734" s="1923"/>
      <c r="B1734" s="2550"/>
      <c r="C1734" s="2552" t="s">
        <v>1165</v>
      </c>
      <c r="D1734" s="2551" t="s">
        <v>1164</v>
      </c>
      <c r="E1734" s="1987">
        <v>0</v>
      </c>
      <c r="F1734" s="1987">
        <v>0</v>
      </c>
      <c r="G1734" s="2038">
        <v>0</v>
      </c>
      <c r="H1734" s="2475" t="e">
        <f t="shared" si="124"/>
        <v>#DIV/0!</v>
      </c>
      <c r="J1734" s="1702"/>
    </row>
    <row r="1735" spans="1:10" s="1906" customFormat="1" ht="15" hidden="1">
      <c r="A1735" s="1923"/>
      <c r="B1735" s="2550"/>
      <c r="C1735" s="4302"/>
      <c r="D1735" s="4288"/>
      <c r="E1735" s="2549"/>
      <c r="F1735" s="2549"/>
      <c r="G1735" s="2548"/>
      <c r="H1735" s="2475" t="e">
        <f t="shared" si="124"/>
        <v>#DIV/0!</v>
      </c>
      <c r="J1735" s="1702"/>
    </row>
    <row r="1736" spans="1:10" s="1906" customFormat="1" ht="14.25" customHeight="1">
      <c r="A1736" s="1923"/>
      <c r="B1736" s="4305"/>
      <c r="C1736" s="4298" t="s">
        <v>941</v>
      </c>
      <c r="D1736" s="4298"/>
      <c r="E1736" s="2509">
        <f t="shared" ref="E1736:G1737" si="125">SUM(E1737)</f>
        <v>783954</v>
      </c>
      <c r="F1736" s="2509">
        <f t="shared" si="125"/>
        <v>783954</v>
      </c>
      <c r="G1736" s="1964">
        <f t="shared" si="125"/>
        <v>2952636</v>
      </c>
      <c r="H1736" s="2475">
        <f t="shared" si="124"/>
        <v>3.7663383310755476</v>
      </c>
      <c r="J1736" s="1702"/>
    </row>
    <row r="1737" spans="1:10" s="1906" customFormat="1" ht="15.75" customHeight="1">
      <c r="A1737" s="1923"/>
      <c r="B1737" s="4305"/>
      <c r="C1737" s="4143" t="s">
        <v>940</v>
      </c>
      <c r="D1737" s="4273"/>
      <c r="E1737" s="1919">
        <f t="shared" si="125"/>
        <v>783954</v>
      </c>
      <c r="F1737" s="1919">
        <f t="shared" si="125"/>
        <v>783954</v>
      </c>
      <c r="G1737" s="1918">
        <f t="shared" si="125"/>
        <v>2952636</v>
      </c>
      <c r="H1737" s="2311">
        <f t="shared" si="124"/>
        <v>3.7663383310755476</v>
      </c>
      <c r="J1737" s="1702"/>
    </row>
    <row r="1738" spans="1:10" s="1906" customFormat="1" ht="45" customHeight="1" thickBot="1">
      <c r="A1738" s="1923"/>
      <c r="B1738" s="4305"/>
      <c r="C1738" s="2408" t="s">
        <v>594</v>
      </c>
      <c r="D1738" s="2413" t="s">
        <v>1018</v>
      </c>
      <c r="E1738" s="2449">
        <v>783954</v>
      </c>
      <c r="F1738" s="1919">
        <v>783954</v>
      </c>
      <c r="G1738" s="1918">
        <v>2952636</v>
      </c>
      <c r="H1738" s="2543">
        <f t="shared" si="124"/>
        <v>3.7663383310755476</v>
      </c>
      <c r="J1738" s="1702"/>
    </row>
    <row r="1739" spans="1:10" s="1906" customFormat="1" ht="17.100000000000001" customHeight="1" thickBot="1">
      <c r="A1739" s="1923"/>
      <c r="B1739" s="1971" t="s">
        <v>1177</v>
      </c>
      <c r="C1739" s="1970"/>
      <c r="D1739" s="1969" t="s">
        <v>315</v>
      </c>
      <c r="E1739" s="1968">
        <f>SUM(E1740,E1748)</f>
        <v>3022407</v>
      </c>
      <c r="F1739" s="1968">
        <f>SUM(F1740,F1748)</f>
        <v>3419857</v>
      </c>
      <c r="G1739" s="1967">
        <f>SUM(G1740,G1748)</f>
        <v>4172331</v>
      </c>
      <c r="H1739" s="1966">
        <f t="shared" si="124"/>
        <v>1.2200308375467162</v>
      </c>
      <c r="J1739" s="1702" t="s">
        <v>1086</v>
      </c>
    </row>
    <row r="1740" spans="1:10" s="1906" customFormat="1" ht="17.100000000000001" customHeight="1">
      <c r="A1740" s="1923"/>
      <c r="B1740" s="1922"/>
      <c r="C1740" s="4279" t="s">
        <v>944</v>
      </c>
      <c r="D1740" s="4279"/>
      <c r="E1740" s="2509">
        <f>SUM(E1741,E1745)</f>
        <v>3002607</v>
      </c>
      <c r="F1740" s="2509">
        <f>SUM(F1741,F1745)</f>
        <v>3400057</v>
      </c>
      <c r="G1740" s="1964">
        <f>SUM(G1741,G1745)</f>
        <v>4057000</v>
      </c>
      <c r="H1740" s="2508">
        <f t="shared" si="124"/>
        <v>1.1932152902142523</v>
      </c>
      <c r="J1740" s="1702"/>
    </row>
    <row r="1741" spans="1:10" s="1906" customFormat="1" ht="17.100000000000001" customHeight="1">
      <c r="A1741" s="1923"/>
      <c r="B1741" s="1922"/>
      <c r="C1741" s="4260" t="s">
        <v>967</v>
      </c>
      <c r="D1741" s="4260"/>
      <c r="E1741" s="1919">
        <f t="shared" ref="E1741:G1742" si="126">SUM(E1742)</f>
        <v>1900057</v>
      </c>
      <c r="F1741" s="1919">
        <f t="shared" si="126"/>
        <v>1900057</v>
      </c>
      <c r="G1741" s="1918">
        <f t="shared" si="126"/>
        <v>2457000</v>
      </c>
      <c r="H1741" s="2311">
        <f t="shared" si="124"/>
        <v>1.2931191011638072</v>
      </c>
      <c r="J1741" s="1702"/>
    </row>
    <row r="1742" spans="1:10" s="1906" customFormat="1" ht="17.100000000000001" customHeight="1">
      <c r="A1742" s="1923"/>
      <c r="B1742" s="4306"/>
      <c r="C1742" s="4289" t="s">
        <v>961</v>
      </c>
      <c r="D1742" s="4289"/>
      <c r="E1742" s="1961">
        <f t="shared" si="126"/>
        <v>1900057</v>
      </c>
      <c r="F1742" s="1961">
        <f t="shared" si="126"/>
        <v>1900057</v>
      </c>
      <c r="G1742" s="1960">
        <f t="shared" si="126"/>
        <v>2457000</v>
      </c>
      <c r="H1742" s="2311">
        <f t="shared" si="124"/>
        <v>1.2931191011638072</v>
      </c>
      <c r="J1742" s="1702"/>
    </row>
    <row r="1743" spans="1:10" s="1906" customFormat="1" ht="17.100000000000001" customHeight="1">
      <c r="A1743" s="1923"/>
      <c r="B1743" s="4306"/>
      <c r="C1743" s="2406" t="s">
        <v>1000</v>
      </c>
      <c r="D1743" s="2414" t="s">
        <v>999</v>
      </c>
      <c r="E1743" s="1919">
        <v>1900057</v>
      </c>
      <c r="F1743" s="1919">
        <v>1900057</v>
      </c>
      <c r="G1743" s="1918">
        <v>2457000</v>
      </c>
      <c r="H1743" s="2311">
        <f t="shared" si="124"/>
        <v>1.2931191011638072</v>
      </c>
      <c r="J1743" s="1702"/>
    </row>
    <row r="1744" spans="1:10" s="1906" customFormat="1" ht="13.5" customHeight="1">
      <c r="A1744" s="1923"/>
      <c r="B1744" s="4306"/>
      <c r="C1744" s="1996"/>
      <c r="D1744" s="1996"/>
      <c r="E1744" s="1995"/>
      <c r="F1744" s="1919"/>
      <c r="G1744" s="1918"/>
      <c r="H1744" s="2311"/>
      <c r="J1744" s="1702"/>
    </row>
    <row r="1745" spans="1:10" s="1906" customFormat="1" ht="17.100000000000001" customHeight="1">
      <c r="A1745" s="1923"/>
      <c r="B1745" s="4306"/>
      <c r="C1745" s="4259" t="s">
        <v>943</v>
      </c>
      <c r="D1745" s="4259"/>
      <c r="E1745" s="1919">
        <f>SUM(E1746)</f>
        <v>1102550</v>
      </c>
      <c r="F1745" s="1919">
        <f>SUM(F1746)</f>
        <v>1500000</v>
      </c>
      <c r="G1745" s="1918">
        <f>SUM(G1746)</f>
        <v>1600000</v>
      </c>
      <c r="H1745" s="2311">
        <f>G1745/F1745</f>
        <v>1.0666666666666667</v>
      </c>
      <c r="J1745" s="1702"/>
    </row>
    <row r="1746" spans="1:10" s="1906" customFormat="1" ht="42" customHeight="1">
      <c r="A1746" s="1923"/>
      <c r="B1746" s="4306"/>
      <c r="C1746" s="2406" t="s">
        <v>1165</v>
      </c>
      <c r="D1746" s="2414" t="s">
        <v>1173</v>
      </c>
      <c r="E1746" s="1919">
        <v>1102550</v>
      </c>
      <c r="F1746" s="1919">
        <v>1500000</v>
      </c>
      <c r="G1746" s="1918">
        <v>1600000</v>
      </c>
      <c r="H1746" s="2311">
        <f>G1746/F1746</f>
        <v>1.0666666666666667</v>
      </c>
      <c r="J1746" s="1702"/>
    </row>
    <row r="1747" spans="1:10" s="1906" customFormat="1" ht="12.75" customHeight="1">
      <c r="A1747" s="1923"/>
      <c r="B1747" s="1922"/>
      <c r="C1747" s="2547"/>
      <c r="D1747" s="2546"/>
      <c r="E1747" s="2496"/>
      <c r="F1747" s="1919"/>
      <c r="G1747" s="1918"/>
      <c r="H1747" s="2311"/>
      <c r="J1747" s="1702"/>
    </row>
    <row r="1748" spans="1:10" s="1906" customFormat="1" ht="14.25" customHeight="1">
      <c r="A1748" s="1923"/>
      <c r="B1748" s="1922"/>
      <c r="C1748" s="4298" t="s">
        <v>941</v>
      </c>
      <c r="D1748" s="4298"/>
      <c r="E1748" s="2509">
        <f t="shared" ref="E1748:G1749" si="127">SUM(E1749)</f>
        <v>19800</v>
      </c>
      <c r="F1748" s="2509">
        <f t="shared" si="127"/>
        <v>19800</v>
      </c>
      <c r="G1748" s="1964">
        <f t="shared" si="127"/>
        <v>115331</v>
      </c>
      <c r="H1748" s="2475">
        <f t="shared" ref="H1748:H1766" si="128">G1748/F1748</f>
        <v>5.8247979797979799</v>
      </c>
      <c r="J1748" s="1702"/>
    </row>
    <row r="1749" spans="1:10" s="1906" customFormat="1" ht="18" customHeight="1">
      <c r="A1749" s="1923"/>
      <c r="B1749" s="1922"/>
      <c r="C1749" s="4143" t="s">
        <v>940</v>
      </c>
      <c r="D1749" s="4273"/>
      <c r="E1749" s="1919">
        <f t="shared" si="127"/>
        <v>19800</v>
      </c>
      <c r="F1749" s="1919">
        <f t="shared" si="127"/>
        <v>19800</v>
      </c>
      <c r="G1749" s="1918">
        <f t="shared" si="127"/>
        <v>115331</v>
      </c>
      <c r="H1749" s="2311">
        <f t="shared" si="128"/>
        <v>5.8247979797979799</v>
      </c>
      <c r="J1749" s="1702"/>
    </row>
    <row r="1750" spans="1:10" s="1906" customFormat="1" ht="43.5" customHeight="1" thickBot="1">
      <c r="A1750" s="1922"/>
      <c r="B1750" s="1912"/>
      <c r="C1750" s="2446" t="s">
        <v>594</v>
      </c>
      <c r="D1750" s="2445" t="s">
        <v>1018</v>
      </c>
      <c r="E1750" s="1916">
        <v>19800</v>
      </c>
      <c r="F1750" s="1916">
        <v>19800</v>
      </c>
      <c r="G1750" s="1915">
        <v>115331</v>
      </c>
      <c r="H1750" s="1907">
        <f t="shared" si="128"/>
        <v>5.8247979797979799</v>
      </c>
      <c r="J1750" s="1702"/>
    </row>
    <row r="1751" spans="1:10" ht="21.75" hidden="1" customHeight="1" thickBot="1">
      <c r="A1751" s="1836"/>
      <c r="B1751" s="2462" t="s">
        <v>1176</v>
      </c>
      <c r="C1751" s="2461"/>
      <c r="D1751" s="2460" t="s">
        <v>1175</v>
      </c>
      <c r="E1751" s="2459">
        <v>0</v>
      </c>
      <c r="F1751" s="2526"/>
      <c r="G1751" s="1903"/>
      <c r="H1751" s="2545" t="e">
        <f t="shared" si="128"/>
        <v>#DIV/0!</v>
      </c>
    </row>
    <row r="1752" spans="1:10" ht="20.25" hidden="1" customHeight="1" thickBot="1">
      <c r="A1752" s="1836"/>
      <c r="B1752" s="1822"/>
      <c r="C1752" s="4299" t="s">
        <v>944</v>
      </c>
      <c r="D1752" s="4300"/>
      <c r="E1752" s="2467">
        <v>0</v>
      </c>
      <c r="F1752" s="1897"/>
      <c r="G1752" s="1896"/>
      <c r="H1752" s="2354" t="e">
        <f t="shared" si="128"/>
        <v>#DIV/0!</v>
      </c>
    </row>
    <row r="1753" spans="1:10" ht="17.25" hidden="1" customHeight="1" thickBot="1">
      <c r="A1753" s="1836"/>
      <c r="B1753" s="1822"/>
      <c r="C1753" s="4267" t="s">
        <v>967</v>
      </c>
      <c r="D1753" s="4267"/>
      <c r="E1753" s="1897">
        <v>0</v>
      </c>
      <c r="F1753" s="1897"/>
      <c r="G1753" s="1896"/>
      <c r="H1753" s="2354" t="e">
        <f t="shared" si="128"/>
        <v>#DIV/0!</v>
      </c>
    </row>
    <row r="1754" spans="1:10" ht="15.75" hidden="1" customHeight="1" thickBot="1">
      <c r="A1754" s="1836"/>
      <c r="B1754" s="1822"/>
      <c r="C1754" s="4301" t="s">
        <v>961</v>
      </c>
      <c r="D1754" s="4301"/>
      <c r="E1754" s="1897">
        <v>0</v>
      </c>
      <c r="F1754" s="1897"/>
      <c r="G1754" s="1896"/>
      <c r="H1754" s="2354" t="e">
        <f t="shared" si="128"/>
        <v>#DIV/0!</v>
      </c>
    </row>
    <row r="1755" spans="1:10" ht="18" hidden="1" customHeight="1" thickBot="1">
      <c r="A1755" s="1836"/>
      <c r="B1755" s="1822"/>
      <c r="C1755" s="2410" t="s">
        <v>959</v>
      </c>
      <c r="D1755" s="2412" t="s">
        <v>958</v>
      </c>
      <c r="E1755" s="2510">
        <v>0</v>
      </c>
      <c r="F1755" s="2510"/>
      <c r="G1755" s="2544"/>
      <c r="H1755" s="2451" t="e">
        <f t="shared" si="128"/>
        <v>#DIV/0!</v>
      </c>
    </row>
    <row r="1756" spans="1:10" s="1906" customFormat="1" ht="17.100000000000001" customHeight="1" thickBot="1">
      <c r="A1756" s="1922"/>
      <c r="B1756" s="1971" t="s">
        <v>834</v>
      </c>
      <c r="C1756" s="1970"/>
      <c r="D1756" s="1969" t="s">
        <v>317</v>
      </c>
      <c r="E1756" s="1968">
        <f t="shared" ref="E1756:G1758" si="129">SUM(E1757)</f>
        <v>150000</v>
      </c>
      <c r="F1756" s="1968">
        <f t="shared" si="129"/>
        <v>150000</v>
      </c>
      <c r="G1756" s="1967">
        <f t="shared" si="129"/>
        <v>150000</v>
      </c>
      <c r="H1756" s="1966">
        <f t="shared" si="128"/>
        <v>1</v>
      </c>
      <c r="J1756" s="1702" t="s">
        <v>1086</v>
      </c>
    </row>
    <row r="1757" spans="1:10" s="1906" customFormat="1" ht="15" customHeight="1">
      <c r="A1757" s="1923"/>
      <c r="B1757" s="4150"/>
      <c r="C1757" s="4298" t="s">
        <v>944</v>
      </c>
      <c r="D1757" s="4298"/>
      <c r="E1757" s="2509">
        <f t="shared" si="129"/>
        <v>150000</v>
      </c>
      <c r="F1757" s="2509">
        <f t="shared" si="129"/>
        <v>150000</v>
      </c>
      <c r="G1757" s="1964">
        <f t="shared" si="129"/>
        <v>150000</v>
      </c>
      <c r="H1757" s="2508">
        <f t="shared" si="128"/>
        <v>1</v>
      </c>
      <c r="J1757" s="1702"/>
    </row>
    <row r="1758" spans="1:10" s="1906" customFormat="1" ht="13.5" customHeight="1">
      <c r="A1758" s="1923"/>
      <c r="B1758" s="4129"/>
      <c r="C1758" s="4259" t="s">
        <v>943</v>
      </c>
      <c r="D1758" s="4259"/>
      <c r="E1758" s="1919">
        <f t="shared" si="129"/>
        <v>150000</v>
      </c>
      <c r="F1758" s="1919">
        <f t="shared" si="129"/>
        <v>150000</v>
      </c>
      <c r="G1758" s="1918">
        <f t="shared" si="129"/>
        <v>150000</v>
      </c>
      <c r="H1758" s="2311">
        <f t="shared" si="128"/>
        <v>1</v>
      </c>
      <c r="J1758" s="1702"/>
    </row>
    <row r="1759" spans="1:10" s="1906" customFormat="1" ht="58.5" customHeight="1" thickBot="1">
      <c r="A1759" s="1923"/>
      <c r="B1759" s="4151"/>
      <c r="C1759" s="2541" t="s">
        <v>112</v>
      </c>
      <c r="D1759" s="2445" t="s">
        <v>956</v>
      </c>
      <c r="E1759" s="1916">
        <v>150000</v>
      </c>
      <c r="F1759" s="1916">
        <v>150000</v>
      </c>
      <c r="G1759" s="1915">
        <v>150000</v>
      </c>
      <c r="H1759" s="2543">
        <f t="shared" si="128"/>
        <v>1</v>
      </c>
      <c r="J1759" s="1702"/>
    </row>
    <row r="1760" spans="1:10" s="1906" customFormat="1" ht="17.100000000000001" customHeight="1" thickBot="1">
      <c r="A1760" s="1923"/>
      <c r="B1760" s="2025" t="s">
        <v>832</v>
      </c>
      <c r="C1760" s="2542"/>
      <c r="D1760" s="2023" t="s">
        <v>1174</v>
      </c>
      <c r="E1760" s="2031">
        <f>SUM(E1761)</f>
        <v>472500</v>
      </c>
      <c r="F1760" s="2031">
        <f>SUM(F1761)</f>
        <v>472500</v>
      </c>
      <c r="G1760" s="2030">
        <f>SUM(G1761)</f>
        <v>466198</v>
      </c>
      <c r="H1760" s="1966">
        <f t="shared" si="128"/>
        <v>0.98666243386243391</v>
      </c>
      <c r="J1760" s="1702" t="s">
        <v>1086</v>
      </c>
    </row>
    <row r="1761" spans="1:10" s="1906" customFormat="1" ht="14.25" customHeight="1">
      <c r="A1761" s="1923"/>
      <c r="B1761" s="1922"/>
      <c r="C1761" s="4279" t="s">
        <v>944</v>
      </c>
      <c r="D1761" s="4279"/>
      <c r="E1761" s="2509">
        <f>SUM(E1762,E1768)</f>
        <v>472500</v>
      </c>
      <c r="F1761" s="2509">
        <f>SUM(F1762,F1768)</f>
        <v>472500</v>
      </c>
      <c r="G1761" s="1964">
        <f>SUM(G1762,G1768)</f>
        <v>466198</v>
      </c>
      <c r="H1761" s="2508">
        <f t="shared" si="128"/>
        <v>0.98666243386243391</v>
      </c>
      <c r="J1761" s="1702"/>
    </row>
    <row r="1762" spans="1:10" s="1906" customFormat="1" ht="17.100000000000001" customHeight="1">
      <c r="A1762" s="1923"/>
      <c r="B1762" s="1922"/>
      <c r="C1762" s="4260" t="s">
        <v>967</v>
      </c>
      <c r="D1762" s="4260"/>
      <c r="E1762" s="1919">
        <f>SUM(E1763)</f>
        <v>35000</v>
      </c>
      <c r="F1762" s="1919">
        <f>SUM(F1763)</f>
        <v>35000</v>
      </c>
      <c r="G1762" s="1918">
        <f>SUM(G1763)</f>
        <v>33000</v>
      </c>
      <c r="H1762" s="2311">
        <f t="shared" si="128"/>
        <v>0.94285714285714284</v>
      </c>
      <c r="J1762" s="1702"/>
    </row>
    <row r="1763" spans="1:10" s="1906" customFormat="1" ht="17.100000000000001" customHeight="1">
      <c r="A1763" s="1923"/>
      <c r="B1763" s="1922"/>
      <c r="C1763" s="4289" t="s">
        <v>961</v>
      </c>
      <c r="D1763" s="4289"/>
      <c r="E1763" s="1961">
        <f>SUM(E1764:E1766)</f>
        <v>35000</v>
      </c>
      <c r="F1763" s="1961">
        <f>SUM(F1764:F1766)</f>
        <v>35000</v>
      </c>
      <c r="G1763" s="1960">
        <f>SUM(G1764:G1766)</f>
        <v>33000</v>
      </c>
      <c r="H1763" s="2337">
        <f t="shared" si="128"/>
        <v>0.94285714285714284</v>
      </c>
      <c r="J1763" s="1702"/>
    </row>
    <row r="1764" spans="1:10" s="1906" customFormat="1" ht="17.100000000000001" customHeight="1" thickBot="1">
      <c r="A1764" s="1913"/>
      <c r="B1764" s="1912"/>
      <c r="C1764" s="2541" t="s">
        <v>1010</v>
      </c>
      <c r="D1764" s="2445" t="s">
        <v>1009</v>
      </c>
      <c r="E1764" s="1916">
        <v>25000</v>
      </c>
      <c r="F1764" s="1916">
        <v>25000</v>
      </c>
      <c r="G1764" s="1915">
        <v>27000</v>
      </c>
      <c r="H1764" s="2311">
        <f t="shared" si="128"/>
        <v>1.08</v>
      </c>
      <c r="J1764" s="1702"/>
    </row>
    <row r="1765" spans="1:10" s="1906" customFormat="1" ht="17.100000000000001" customHeight="1">
      <c r="A1765" s="1954"/>
      <c r="B1765" s="2321"/>
      <c r="C1765" s="2540" t="s">
        <v>613</v>
      </c>
      <c r="D1765" s="2539" t="s">
        <v>960</v>
      </c>
      <c r="E1765" s="1952">
        <v>2000</v>
      </c>
      <c r="F1765" s="1952">
        <v>2000</v>
      </c>
      <c r="G1765" s="1951">
        <v>2000</v>
      </c>
      <c r="H1765" s="2311">
        <f t="shared" si="128"/>
        <v>1</v>
      </c>
      <c r="J1765" s="1702"/>
    </row>
    <row r="1766" spans="1:10" s="1906" customFormat="1" ht="17.100000000000001" customHeight="1">
      <c r="A1766" s="1922"/>
      <c r="B1766" s="1922"/>
      <c r="C1766" s="1989" t="s">
        <v>959</v>
      </c>
      <c r="D1766" s="2435" t="s">
        <v>958</v>
      </c>
      <c r="E1766" s="1919">
        <v>8000</v>
      </c>
      <c r="F1766" s="1919">
        <v>8000</v>
      </c>
      <c r="G1766" s="1918">
        <v>4000</v>
      </c>
      <c r="H1766" s="2311">
        <f t="shared" si="128"/>
        <v>0.5</v>
      </c>
      <c r="J1766" s="1702"/>
    </row>
    <row r="1767" spans="1:10" s="1906" customFormat="1" ht="17.100000000000001" customHeight="1">
      <c r="A1767" s="1923"/>
      <c r="B1767" s="1922"/>
      <c r="C1767" s="1995"/>
      <c r="D1767" s="1996"/>
      <c r="E1767" s="1995"/>
      <c r="F1767" s="2496"/>
      <c r="G1767" s="1929"/>
      <c r="H1767" s="2497"/>
      <c r="J1767" s="1702"/>
    </row>
    <row r="1768" spans="1:10" s="1906" customFormat="1" ht="17.100000000000001" customHeight="1">
      <c r="A1768" s="1923"/>
      <c r="B1768" s="1922"/>
      <c r="C1768" s="4294" t="s">
        <v>943</v>
      </c>
      <c r="D1768" s="4295"/>
      <c r="E1768" s="1919">
        <f>SUM(E1769)</f>
        <v>437500</v>
      </c>
      <c r="F1768" s="1919">
        <f>SUM(F1769:F1770)</f>
        <v>437500</v>
      </c>
      <c r="G1768" s="1918">
        <f>SUM(G1769:G1770)</f>
        <v>433198</v>
      </c>
      <c r="H1768" s="2311">
        <f>G1768/F1768</f>
        <v>0.99016685714285713</v>
      </c>
      <c r="J1768" s="1702"/>
    </row>
    <row r="1769" spans="1:10" s="1906" customFormat="1" ht="54" customHeight="1">
      <c r="A1769" s="1922"/>
      <c r="B1769" s="1922"/>
      <c r="C1769" s="2417" t="s">
        <v>112</v>
      </c>
      <c r="D1769" s="2416" t="s">
        <v>956</v>
      </c>
      <c r="E1769" s="1919">
        <v>437500</v>
      </c>
      <c r="F1769" s="1919">
        <v>437500</v>
      </c>
      <c r="G1769" s="1918">
        <v>268200</v>
      </c>
      <c r="H1769" s="2311">
        <f>G1769/F1769</f>
        <v>0.61302857142857148</v>
      </c>
      <c r="J1769" s="1702"/>
    </row>
    <row r="1770" spans="1:10" s="1906" customFormat="1" ht="29.25" customHeight="1" thickBot="1">
      <c r="A1770" s="1923"/>
      <c r="B1770" s="1922"/>
      <c r="C1770" s="1989" t="s">
        <v>1165</v>
      </c>
      <c r="D1770" s="2439" t="s">
        <v>1173</v>
      </c>
      <c r="E1770" s="1975"/>
      <c r="F1770" s="1975">
        <v>0</v>
      </c>
      <c r="G1770" s="1918">
        <v>164998</v>
      </c>
      <c r="H1770" s="2311"/>
      <c r="J1770" s="1702"/>
    </row>
    <row r="1771" spans="1:10" ht="17.25" hidden="1" customHeight="1">
      <c r="A1771" s="2454"/>
      <c r="B1771" s="4265"/>
      <c r="C1771" s="4278" t="s">
        <v>941</v>
      </c>
      <c r="D1771" s="4278"/>
      <c r="E1771" s="2196">
        <v>0</v>
      </c>
      <c r="F1771" s="1897"/>
      <c r="G1771" s="1896"/>
      <c r="H1771" s="2354" t="e">
        <f t="shared" ref="H1771:H1786" si="130">G1771/F1771</f>
        <v>#DIV/0!</v>
      </c>
    </row>
    <row r="1772" spans="1:10" ht="17.25" hidden="1" customHeight="1">
      <c r="A1772" s="2454"/>
      <c r="B1772" s="4265"/>
      <c r="C1772" s="4263" t="s">
        <v>940</v>
      </c>
      <c r="D1772" s="4263"/>
      <c r="E1772" s="2510">
        <v>0</v>
      </c>
      <c r="F1772" s="1897"/>
      <c r="G1772" s="1896"/>
      <c r="H1772" s="2354" t="e">
        <f t="shared" si="130"/>
        <v>#DIV/0!</v>
      </c>
    </row>
    <row r="1773" spans="1:10" ht="40.5" hidden="1" customHeight="1" thickBot="1">
      <c r="A1773" s="2454"/>
      <c r="B1773" s="4265"/>
      <c r="C1773" s="2512" t="s">
        <v>594</v>
      </c>
      <c r="D1773" s="2511" t="s">
        <v>1018</v>
      </c>
      <c r="E1773" s="2510">
        <v>0</v>
      </c>
      <c r="F1773" s="1897"/>
      <c r="G1773" s="1896"/>
      <c r="H1773" s="2451" t="e">
        <f t="shared" si="130"/>
        <v>#DIV/0!</v>
      </c>
    </row>
    <row r="1774" spans="1:10" ht="27.75" hidden="1" customHeight="1" thickBot="1">
      <c r="A1774" s="1822"/>
      <c r="B1774" s="1768" t="s">
        <v>1172</v>
      </c>
      <c r="C1774" s="1839"/>
      <c r="D1774" s="1838" t="s">
        <v>320</v>
      </c>
      <c r="E1774" s="1818">
        <f t="shared" ref="E1774:G1777" si="131">SUM(E1775)</f>
        <v>10000</v>
      </c>
      <c r="F1774" s="1818">
        <f t="shared" si="131"/>
        <v>10000</v>
      </c>
      <c r="G1774" s="1817">
        <f t="shared" si="131"/>
        <v>0</v>
      </c>
      <c r="H1774" s="1763">
        <f t="shared" si="130"/>
        <v>0</v>
      </c>
    </row>
    <row r="1775" spans="1:10" ht="17.100000000000001" hidden="1" customHeight="1">
      <c r="A1775" s="1836"/>
      <c r="B1775" s="4084"/>
      <c r="C1775" s="4296" t="s">
        <v>944</v>
      </c>
      <c r="D1775" s="4296"/>
      <c r="E1775" s="2538">
        <f t="shared" si="131"/>
        <v>10000</v>
      </c>
      <c r="F1775" s="2538">
        <f t="shared" si="131"/>
        <v>10000</v>
      </c>
      <c r="G1775" s="1761">
        <f t="shared" si="131"/>
        <v>0</v>
      </c>
      <c r="H1775" s="2537">
        <f t="shared" si="130"/>
        <v>0</v>
      </c>
    </row>
    <row r="1776" spans="1:10" ht="17.100000000000001" hidden="1" customHeight="1">
      <c r="A1776" s="1836"/>
      <c r="B1776" s="4084"/>
      <c r="C1776" s="4297" t="s">
        <v>967</v>
      </c>
      <c r="D1776" s="4297"/>
      <c r="E1776" s="1850">
        <f t="shared" si="131"/>
        <v>10000</v>
      </c>
      <c r="F1776" s="1850">
        <f t="shared" si="131"/>
        <v>10000</v>
      </c>
      <c r="G1776" s="1849">
        <f t="shared" si="131"/>
        <v>0</v>
      </c>
      <c r="H1776" s="2419">
        <f t="shared" si="130"/>
        <v>0</v>
      </c>
    </row>
    <row r="1777" spans="1:10" ht="17.100000000000001" hidden="1" customHeight="1">
      <c r="A1777" s="1836"/>
      <c r="B1777" s="4084"/>
      <c r="C1777" s="4277" t="s">
        <v>961</v>
      </c>
      <c r="D1777" s="4277"/>
      <c r="E1777" s="1859">
        <f t="shared" si="131"/>
        <v>10000</v>
      </c>
      <c r="F1777" s="1859">
        <f t="shared" si="131"/>
        <v>10000</v>
      </c>
      <c r="G1777" s="1858">
        <f t="shared" si="131"/>
        <v>0</v>
      </c>
      <c r="H1777" s="2489">
        <f t="shared" si="130"/>
        <v>0</v>
      </c>
    </row>
    <row r="1778" spans="1:10" ht="17.100000000000001" hidden="1" customHeight="1" thickBot="1">
      <c r="A1778" s="1836"/>
      <c r="B1778" s="4084"/>
      <c r="C1778" s="2479" t="s">
        <v>1171</v>
      </c>
      <c r="D1778" s="2536" t="s">
        <v>1170</v>
      </c>
      <c r="E1778" s="2535">
        <v>10000</v>
      </c>
      <c r="F1778" s="1850">
        <v>10000</v>
      </c>
      <c r="G1778" s="1849">
        <v>0</v>
      </c>
      <c r="H1778" s="2534">
        <f t="shared" si="130"/>
        <v>0</v>
      </c>
    </row>
    <row r="1779" spans="1:10" s="1906" customFormat="1" ht="17.100000000000001" customHeight="1" thickBot="1">
      <c r="A1779" s="1923"/>
      <c r="B1779" s="1971" t="s">
        <v>1169</v>
      </c>
      <c r="C1779" s="1970"/>
      <c r="D1779" s="1969" t="s">
        <v>1168</v>
      </c>
      <c r="E1779" s="1968">
        <f t="shared" ref="E1779:G1780" si="132">SUM(E1780)</f>
        <v>19736691</v>
      </c>
      <c r="F1779" s="1968">
        <f t="shared" si="132"/>
        <v>29220053</v>
      </c>
      <c r="G1779" s="1967">
        <f t="shared" si="132"/>
        <v>18504000</v>
      </c>
      <c r="H1779" s="1966">
        <f t="shared" si="130"/>
        <v>0.63326373843332862</v>
      </c>
      <c r="J1779" s="1702"/>
    </row>
    <row r="1780" spans="1:10" s="1906" customFormat="1" ht="17.100000000000001" customHeight="1">
      <c r="A1780" s="1923"/>
      <c r="B1780" s="1981"/>
      <c r="C1780" s="4279" t="s">
        <v>944</v>
      </c>
      <c r="D1780" s="4279"/>
      <c r="E1780" s="1919">
        <f t="shared" si="132"/>
        <v>19736691</v>
      </c>
      <c r="F1780" s="1927">
        <f t="shared" si="132"/>
        <v>29220053</v>
      </c>
      <c r="G1780" s="1926">
        <f t="shared" si="132"/>
        <v>18504000</v>
      </c>
      <c r="H1780" s="2508">
        <f t="shared" si="130"/>
        <v>0.63326373843332862</v>
      </c>
      <c r="J1780" s="1702"/>
    </row>
    <row r="1781" spans="1:10" s="1906" customFormat="1" ht="17.100000000000001" customHeight="1">
      <c r="A1781" s="1923"/>
      <c r="B1781" s="1981"/>
      <c r="C1781" s="4260" t="s">
        <v>967</v>
      </c>
      <c r="D1781" s="4260"/>
      <c r="E1781" s="1919">
        <f>SUM(E1782,E1788)</f>
        <v>19736691</v>
      </c>
      <c r="F1781" s="1919">
        <f>SUM(F1782,F1788)</f>
        <v>29220053</v>
      </c>
      <c r="G1781" s="1918">
        <f>SUM(G1782,G1788)</f>
        <v>18504000</v>
      </c>
      <c r="H1781" s="2311">
        <f t="shared" si="130"/>
        <v>0.63326373843332862</v>
      </c>
      <c r="J1781" s="1702"/>
    </row>
    <row r="1782" spans="1:10" s="1906" customFormat="1" ht="17.100000000000001" hidden="1" customHeight="1">
      <c r="A1782" s="1923"/>
      <c r="B1782" s="1981"/>
      <c r="C1782" s="4276" t="s">
        <v>966</v>
      </c>
      <c r="D1782" s="4276"/>
      <c r="E1782" s="1961">
        <f>SUM(E1783:E1786)</f>
        <v>0</v>
      </c>
      <c r="F1782" s="1961">
        <f>SUM(F1783:F1786)</f>
        <v>26937</v>
      </c>
      <c r="G1782" s="1960">
        <f>SUM(G1783:G1786)</f>
        <v>0</v>
      </c>
      <c r="H1782" s="2337">
        <f t="shared" si="130"/>
        <v>0</v>
      </c>
      <c r="J1782" s="1702"/>
    </row>
    <row r="1783" spans="1:10" s="1906" customFormat="1" ht="17.100000000000001" hidden="1" customHeight="1">
      <c r="A1783" s="1923"/>
      <c r="B1783" s="1981"/>
      <c r="C1783" s="2406" t="s">
        <v>1016</v>
      </c>
      <c r="D1783" s="2414" t="s">
        <v>1015</v>
      </c>
      <c r="E1783" s="1919">
        <v>0</v>
      </c>
      <c r="F1783" s="1919">
        <v>22422</v>
      </c>
      <c r="G1783" s="1918">
        <v>0</v>
      </c>
      <c r="H1783" s="2311">
        <f t="shared" si="130"/>
        <v>0</v>
      </c>
      <c r="J1783" s="1702"/>
    </row>
    <row r="1784" spans="1:10" s="1906" customFormat="1" ht="17.100000000000001" hidden="1" customHeight="1">
      <c r="A1784" s="1923"/>
      <c r="B1784" s="1981"/>
      <c r="C1784" s="2406" t="s">
        <v>965</v>
      </c>
      <c r="D1784" s="2413" t="s">
        <v>964</v>
      </c>
      <c r="E1784" s="1919">
        <v>0</v>
      </c>
      <c r="F1784" s="1919">
        <v>3854</v>
      </c>
      <c r="G1784" s="1918">
        <v>0</v>
      </c>
      <c r="H1784" s="2311">
        <f t="shared" si="130"/>
        <v>0</v>
      </c>
      <c r="J1784" s="1702"/>
    </row>
    <row r="1785" spans="1:10" s="1906" customFormat="1" ht="16.5" hidden="1" customHeight="1">
      <c r="A1785" s="1923"/>
      <c r="B1785" s="1981"/>
      <c r="C1785" s="2406" t="s">
        <v>963</v>
      </c>
      <c r="D1785" s="2414" t="s">
        <v>962</v>
      </c>
      <c r="E1785" s="1919">
        <v>0</v>
      </c>
      <c r="F1785" s="1919">
        <v>550</v>
      </c>
      <c r="G1785" s="1918">
        <v>0</v>
      </c>
      <c r="H1785" s="2311">
        <f t="shared" si="130"/>
        <v>0</v>
      </c>
      <c r="J1785" s="1702"/>
    </row>
    <row r="1786" spans="1:10" s="1906" customFormat="1" ht="16.5" hidden="1" customHeight="1">
      <c r="A1786" s="1923"/>
      <c r="B1786" s="1981"/>
      <c r="C1786" s="2417" t="s">
        <v>1012</v>
      </c>
      <c r="D1786" s="2490" t="s">
        <v>1011</v>
      </c>
      <c r="E1786" s="1919">
        <v>0</v>
      </c>
      <c r="F1786" s="1919">
        <v>111</v>
      </c>
      <c r="G1786" s="1918">
        <v>0</v>
      </c>
      <c r="H1786" s="2311">
        <f t="shared" si="130"/>
        <v>0</v>
      </c>
      <c r="J1786" s="1702"/>
    </row>
    <row r="1787" spans="1:10" s="1906" customFormat="1" ht="14.25" hidden="1" customHeight="1">
      <c r="A1787" s="1923"/>
      <c r="B1787" s="1981"/>
      <c r="C1787" s="2046"/>
      <c r="D1787" s="2533"/>
      <c r="E1787" s="1919"/>
      <c r="F1787" s="1919"/>
      <c r="G1787" s="1918"/>
      <c r="H1787" s="2311"/>
      <c r="J1787" s="1702"/>
    </row>
    <row r="1788" spans="1:10" s="1906" customFormat="1" ht="17.100000000000001" customHeight="1">
      <c r="A1788" s="1923"/>
      <c r="B1788" s="1981"/>
      <c r="C1788" s="4292" t="s">
        <v>961</v>
      </c>
      <c r="D1788" s="4292"/>
      <c r="E1788" s="1961">
        <f>SUM(E1789)</f>
        <v>19736691</v>
      </c>
      <c r="F1788" s="1961">
        <f>SUM(F1789)</f>
        <v>29193116</v>
      </c>
      <c r="G1788" s="1960">
        <f>SUM(G1789)</f>
        <v>18504000</v>
      </c>
      <c r="H1788" s="2337">
        <f t="shared" ref="H1788:H1794" si="133">G1788/F1788</f>
        <v>0.63384806198831256</v>
      </c>
      <c r="J1788" s="1702"/>
    </row>
    <row r="1789" spans="1:10" s="1906" customFormat="1" ht="17.100000000000001" customHeight="1" thickBot="1">
      <c r="A1789" s="1922"/>
      <c r="B1789" s="2006"/>
      <c r="C1789" s="2446" t="s">
        <v>1167</v>
      </c>
      <c r="D1789" s="2532" t="s">
        <v>1166</v>
      </c>
      <c r="E1789" s="1916">
        <v>19736691</v>
      </c>
      <c r="F1789" s="1916">
        <v>29193116</v>
      </c>
      <c r="G1789" s="1915">
        <v>18504000</v>
      </c>
      <c r="H1789" s="1907">
        <f t="shared" si="133"/>
        <v>0.63384806198831256</v>
      </c>
      <c r="J1789" s="1702" t="s">
        <v>1086</v>
      </c>
    </row>
    <row r="1790" spans="1:10" s="1906" customFormat="1" ht="17.100000000000001" customHeight="1" thickBot="1">
      <c r="A1790" s="1923"/>
      <c r="B1790" s="1971" t="s">
        <v>603</v>
      </c>
      <c r="C1790" s="1970"/>
      <c r="D1790" s="1969" t="s">
        <v>50</v>
      </c>
      <c r="E1790" s="1968">
        <f>SUM(E1791,E1809)</f>
        <v>138734</v>
      </c>
      <c r="F1790" s="1968">
        <f>SUM(F1791,F1809)</f>
        <v>4272045</v>
      </c>
      <c r="G1790" s="1967">
        <f>SUM(G1791,G1809)</f>
        <v>140083</v>
      </c>
      <c r="H1790" s="1966">
        <f t="shared" si="133"/>
        <v>3.2790619012674257E-2</v>
      </c>
      <c r="J1790" s="1702"/>
    </row>
    <row r="1791" spans="1:10" s="1906" customFormat="1" ht="17.100000000000001" customHeight="1">
      <c r="A1791" s="1923"/>
      <c r="B1791" s="1981"/>
      <c r="C1791" s="4279" t="s">
        <v>944</v>
      </c>
      <c r="D1791" s="4279"/>
      <c r="E1791" s="2509">
        <f>SUM(E1792,E1799,E1803)</f>
        <v>138734</v>
      </c>
      <c r="F1791" s="2509">
        <f>SUM(F1792,F1799,F1803)</f>
        <v>614304</v>
      </c>
      <c r="G1791" s="1964">
        <f>SUM(G1792,G1799,G1803)</f>
        <v>140083</v>
      </c>
      <c r="H1791" s="2508">
        <f t="shared" si="133"/>
        <v>0.22803530499557223</v>
      </c>
      <c r="J1791" s="1702"/>
    </row>
    <row r="1792" spans="1:10" s="1906" customFormat="1" ht="17.100000000000001" customHeight="1">
      <c r="A1792" s="1923"/>
      <c r="B1792" s="1922"/>
      <c r="C1792" s="4260" t="s">
        <v>967</v>
      </c>
      <c r="D1792" s="4260"/>
      <c r="E1792" s="1919">
        <f>SUM(E1793,E1796)</f>
        <v>48734</v>
      </c>
      <c r="F1792" s="1919">
        <f>SUM(F1793,F1796)</f>
        <v>82534</v>
      </c>
      <c r="G1792" s="1918">
        <f>SUM(G1793,G1796)</f>
        <v>50083</v>
      </c>
      <c r="H1792" s="2311">
        <f t="shared" si="133"/>
        <v>0.60681658468025301</v>
      </c>
      <c r="J1792" s="1702"/>
    </row>
    <row r="1793" spans="1:10" s="1906" customFormat="1" ht="17.100000000000001" customHeight="1">
      <c r="A1793" s="1923"/>
      <c r="B1793" s="1922"/>
      <c r="C1793" s="4276" t="s">
        <v>966</v>
      </c>
      <c r="D1793" s="4276"/>
      <c r="E1793" s="1961">
        <f>SUM(E1794)</f>
        <v>43874</v>
      </c>
      <c r="F1793" s="1961">
        <f>SUM(F1794)</f>
        <v>65474</v>
      </c>
      <c r="G1793" s="1960">
        <f>SUM(G1794)</f>
        <v>46375</v>
      </c>
      <c r="H1793" s="2337">
        <f t="shared" si="133"/>
        <v>0.70829642300760609</v>
      </c>
      <c r="J1793" s="1702"/>
    </row>
    <row r="1794" spans="1:10" s="1906" customFormat="1" ht="15.75" customHeight="1">
      <c r="A1794" s="1923"/>
      <c r="B1794" s="1922"/>
      <c r="C1794" s="2406" t="s">
        <v>974</v>
      </c>
      <c r="D1794" s="2414" t="s">
        <v>973</v>
      </c>
      <c r="E1794" s="2482">
        <v>43874</v>
      </c>
      <c r="F1794" s="1919">
        <v>65474</v>
      </c>
      <c r="G1794" s="1918">
        <v>46375</v>
      </c>
      <c r="H1794" s="2311">
        <f t="shared" si="133"/>
        <v>0.70829642300760609</v>
      </c>
      <c r="J1794" s="1702" t="s">
        <v>1086</v>
      </c>
    </row>
    <row r="1795" spans="1:10" s="1906" customFormat="1" ht="13.5" customHeight="1">
      <c r="A1795" s="1923"/>
      <c r="B1795" s="1922"/>
      <c r="C1795" s="1996"/>
      <c r="D1795" s="1996"/>
      <c r="E1795" s="1995"/>
      <c r="F1795" s="1919"/>
      <c r="G1795" s="1918"/>
      <c r="H1795" s="2311"/>
      <c r="J1795" s="1702"/>
    </row>
    <row r="1796" spans="1:10" s="1906" customFormat="1" ht="17.100000000000001" customHeight="1">
      <c r="A1796" s="1923"/>
      <c r="B1796" s="1922"/>
      <c r="C1796" s="4292" t="s">
        <v>961</v>
      </c>
      <c r="D1796" s="4292"/>
      <c r="E1796" s="2450">
        <f>SUM(E1797)</f>
        <v>4860</v>
      </c>
      <c r="F1796" s="2450">
        <f>SUM(F1797)</f>
        <v>17060</v>
      </c>
      <c r="G1796" s="2443">
        <f>SUM(G1797)</f>
        <v>3708</v>
      </c>
      <c r="H1796" s="2337">
        <f>G1796/F1796</f>
        <v>0.21735052754982415</v>
      </c>
      <c r="J1796" s="1702"/>
    </row>
    <row r="1797" spans="1:10" s="1906" customFormat="1" ht="17.25" customHeight="1">
      <c r="A1797" s="1923"/>
      <c r="B1797" s="1922"/>
      <c r="C1797" s="1924" t="s">
        <v>959</v>
      </c>
      <c r="D1797" s="2440" t="s">
        <v>958</v>
      </c>
      <c r="E1797" s="1919">
        <v>4860</v>
      </c>
      <c r="F1797" s="1919">
        <v>17060</v>
      </c>
      <c r="G1797" s="1918">
        <v>3708</v>
      </c>
      <c r="H1797" s="2311">
        <f>G1797/F1797</f>
        <v>0.21735052754982415</v>
      </c>
      <c r="J1797" s="1702" t="s">
        <v>1086</v>
      </c>
    </row>
    <row r="1798" spans="1:10" s="1906" customFormat="1" ht="15" customHeight="1">
      <c r="A1798" s="1922"/>
      <c r="B1798" s="1922"/>
      <c r="C1798" s="4146"/>
      <c r="D1798" s="4293"/>
      <c r="E1798" s="2496"/>
      <c r="F1798" s="1919"/>
      <c r="G1798" s="1918"/>
      <c r="H1798" s="2311"/>
      <c r="J1798" s="1702"/>
    </row>
    <row r="1799" spans="1:10" s="1906" customFormat="1" ht="15" customHeight="1">
      <c r="A1799" s="1923"/>
      <c r="B1799" s="1922"/>
      <c r="C1799" s="4280" t="s">
        <v>943</v>
      </c>
      <c r="D1799" s="4281"/>
      <c r="E1799" s="2496">
        <f>SUM(E1800)</f>
        <v>90000</v>
      </c>
      <c r="F1799" s="2496">
        <f>SUM(F1800)</f>
        <v>90000</v>
      </c>
      <c r="G1799" s="1929">
        <f>SUM(G1800)</f>
        <v>90000</v>
      </c>
      <c r="H1799" s="2497">
        <f>G1799/F1799</f>
        <v>1</v>
      </c>
      <c r="J1799" s="1702"/>
    </row>
    <row r="1800" spans="1:10" s="1906" customFormat="1" ht="51" customHeight="1" thickBot="1">
      <c r="A1800" s="1913"/>
      <c r="B1800" s="1912"/>
      <c r="C1800" s="2286" t="s">
        <v>112</v>
      </c>
      <c r="D1800" s="2445" t="s">
        <v>956</v>
      </c>
      <c r="E1800" s="1916">
        <v>90000</v>
      </c>
      <c r="F1800" s="1916">
        <v>90000</v>
      </c>
      <c r="G1800" s="1915">
        <v>90000</v>
      </c>
      <c r="H1800" s="2311">
        <f>G1800/F1800</f>
        <v>1</v>
      </c>
      <c r="J1800" s="1702" t="s">
        <v>1086</v>
      </c>
    </row>
    <row r="1801" spans="1:10" s="1906" customFormat="1" ht="41.25" hidden="1" customHeight="1">
      <c r="A1801" s="1923"/>
      <c r="B1801" s="1922"/>
      <c r="C1801" s="2013" t="s">
        <v>1165</v>
      </c>
      <c r="D1801" s="2531" t="s">
        <v>1164</v>
      </c>
      <c r="E1801" s="2496">
        <v>0</v>
      </c>
      <c r="F1801" s="2496"/>
      <c r="G1801" s="1929"/>
      <c r="H1801" s="2311" t="e">
        <f>G1801/F1801</f>
        <v>#DIV/0!</v>
      </c>
      <c r="J1801" s="1702"/>
    </row>
    <row r="1802" spans="1:10" s="1906" customFormat="1" ht="13.5" hidden="1" customHeight="1">
      <c r="A1802" s="1923"/>
      <c r="B1802" s="1922"/>
      <c r="C1802" s="4282"/>
      <c r="D1802" s="4283"/>
      <c r="E1802" s="1975"/>
      <c r="F1802" s="1919"/>
      <c r="G1802" s="1918"/>
      <c r="H1802" s="2311"/>
      <c r="J1802" s="1702"/>
    </row>
    <row r="1803" spans="1:10" s="1906" customFormat="1" ht="18.75" hidden="1" customHeight="1">
      <c r="A1803" s="1923"/>
      <c r="B1803" s="1922"/>
      <c r="C1803" s="4284" t="s">
        <v>976</v>
      </c>
      <c r="D1803" s="4285"/>
      <c r="E1803" s="1919">
        <f>SUM(E1804:E1807)</f>
        <v>0</v>
      </c>
      <c r="F1803" s="1919">
        <f>SUM(F1804:F1807)</f>
        <v>441770</v>
      </c>
      <c r="G1803" s="1918">
        <f>SUM(G1804:G1807)</f>
        <v>0</v>
      </c>
      <c r="H1803" s="2311">
        <f>G1803/F1803</f>
        <v>0</v>
      </c>
      <c r="J1803" s="1702"/>
    </row>
    <row r="1804" spans="1:10" s="1906" customFormat="1" ht="63" hidden="1" customHeight="1">
      <c r="A1804" s="1923"/>
      <c r="B1804" s="1922"/>
      <c r="C1804" s="1924" t="s">
        <v>196</v>
      </c>
      <c r="D1804" s="1948" t="s">
        <v>1140</v>
      </c>
      <c r="E1804" s="1919">
        <v>0</v>
      </c>
      <c r="F1804" s="1919">
        <v>439741</v>
      </c>
      <c r="G1804" s="1918">
        <v>0</v>
      </c>
      <c r="H1804" s="2311">
        <f>G1804/F1804</f>
        <v>0</v>
      </c>
      <c r="J1804" s="1702"/>
    </row>
    <row r="1805" spans="1:10" s="1906" customFormat="1" ht="51.75" hidden="1" thickBot="1">
      <c r="A1805" s="1923"/>
      <c r="B1805" s="1922"/>
      <c r="C1805" s="1924" t="s">
        <v>157</v>
      </c>
      <c r="D1805" s="2530" t="s">
        <v>1127</v>
      </c>
      <c r="E1805" s="1919">
        <v>0</v>
      </c>
      <c r="F1805" s="1919">
        <v>1338</v>
      </c>
      <c r="G1805" s="1918">
        <v>0</v>
      </c>
      <c r="H1805" s="2311">
        <f>G1805/F1805</f>
        <v>0</v>
      </c>
      <c r="J1805" s="1702"/>
    </row>
    <row r="1806" spans="1:10" s="1906" customFormat="1" ht="21.75" hidden="1" customHeight="1">
      <c r="A1806" s="1923"/>
      <c r="B1806" s="1922"/>
      <c r="C1806" s="1924" t="s">
        <v>450</v>
      </c>
      <c r="D1806" s="2414" t="s">
        <v>960</v>
      </c>
      <c r="E1806" s="1919">
        <v>0</v>
      </c>
      <c r="F1806" s="1919">
        <v>600</v>
      </c>
      <c r="G1806" s="1918">
        <v>0</v>
      </c>
      <c r="H1806" s="2311">
        <f>G1806/F1806</f>
        <v>0</v>
      </c>
      <c r="J1806" s="1702"/>
    </row>
    <row r="1807" spans="1:10" s="1906" customFormat="1" ht="55.5" hidden="1" customHeight="1">
      <c r="A1807" s="1923"/>
      <c r="B1807" s="1922"/>
      <c r="C1807" s="1989" t="s">
        <v>488</v>
      </c>
      <c r="D1807" s="2490" t="s">
        <v>1137</v>
      </c>
      <c r="E1807" s="1919">
        <v>0</v>
      </c>
      <c r="F1807" s="1919">
        <v>91</v>
      </c>
      <c r="G1807" s="1918">
        <v>0</v>
      </c>
      <c r="H1807" s="2311">
        <f>G1807/F1807</f>
        <v>0</v>
      </c>
      <c r="J1807" s="1702"/>
    </row>
    <row r="1808" spans="1:10" s="1906" customFormat="1" ht="13.5" hidden="1" customHeight="1">
      <c r="A1808" s="1923"/>
      <c r="B1808" s="1922"/>
      <c r="C1808" s="4286"/>
      <c r="D1808" s="4287"/>
      <c r="E1808" s="1975"/>
      <c r="F1808" s="1919"/>
      <c r="G1808" s="1918"/>
      <c r="H1808" s="2311"/>
      <c r="J1808" s="1702"/>
    </row>
    <row r="1809" spans="1:10" s="1906" customFormat="1" ht="18.75" hidden="1" customHeight="1">
      <c r="A1809" s="1923"/>
      <c r="B1809" s="1922"/>
      <c r="C1809" s="4269" t="s">
        <v>941</v>
      </c>
      <c r="D1809" s="4269"/>
      <c r="E1809" s="1927">
        <f t="shared" ref="E1809:G1810" si="134">SUM(E1810)</f>
        <v>0</v>
      </c>
      <c r="F1809" s="1927">
        <f t="shared" si="134"/>
        <v>3657741</v>
      </c>
      <c r="G1809" s="1926">
        <f t="shared" si="134"/>
        <v>0</v>
      </c>
      <c r="H1809" s="2475">
        <f>G1809/F1809</f>
        <v>0</v>
      </c>
      <c r="J1809" s="1702"/>
    </row>
    <row r="1810" spans="1:10" s="1906" customFormat="1" ht="15.75" hidden="1" customHeight="1">
      <c r="A1810" s="1923"/>
      <c r="B1810" s="1922"/>
      <c r="C1810" s="4273" t="s">
        <v>940</v>
      </c>
      <c r="D1810" s="4288"/>
      <c r="E1810" s="1975">
        <f t="shared" si="134"/>
        <v>0</v>
      </c>
      <c r="F1810" s="1975">
        <f t="shared" si="134"/>
        <v>3657741</v>
      </c>
      <c r="G1810" s="2271">
        <f t="shared" si="134"/>
        <v>0</v>
      </c>
      <c r="H1810" s="2311">
        <f>G1810/F1810</f>
        <v>0</v>
      </c>
      <c r="J1810" s="1702"/>
    </row>
    <row r="1811" spans="1:10" s="1906" customFormat="1" ht="63" hidden="1" customHeight="1">
      <c r="A1811" s="1923"/>
      <c r="B1811" s="1922"/>
      <c r="C1811" s="1924" t="s">
        <v>566</v>
      </c>
      <c r="D1811" s="1943" t="s">
        <v>1134</v>
      </c>
      <c r="E1811" s="1919">
        <v>0</v>
      </c>
      <c r="F1811" s="1919">
        <v>3657741</v>
      </c>
      <c r="G1811" s="1918">
        <v>0</v>
      </c>
      <c r="H1811" s="2311">
        <f>G1811/F1811</f>
        <v>0</v>
      </c>
      <c r="J1811" s="1702"/>
    </row>
    <row r="1812" spans="1:10" s="1906" customFormat="1" ht="27.75" hidden="1" customHeight="1">
      <c r="A1812" s="1923"/>
      <c r="B1812" s="1922"/>
      <c r="C1812" s="1924" t="s">
        <v>605</v>
      </c>
      <c r="D1812" s="2397" t="s">
        <v>1022</v>
      </c>
      <c r="E1812" s="1919">
        <v>0</v>
      </c>
      <c r="F1812" s="1919"/>
      <c r="G1812" s="1918"/>
      <c r="H1812" s="2311" t="e">
        <f>G1812/F1812</f>
        <v>#DIV/0!</v>
      </c>
      <c r="J1812" s="1702"/>
    </row>
    <row r="1813" spans="1:10" s="1906" customFormat="1" ht="12.75" hidden="1" customHeight="1">
      <c r="A1813" s="1923"/>
      <c r="B1813" s="1922"/>
      <c r="C1813" s="1924"/>
      <c r="D1813" s="2529"/>
      <c r="E1813" s="1919"/>
      <c r="F1813" s="1919"/>
      <c r="G1813" s="1918"/>
      <c r="H1813" s="2311"/>
      <c r="J1813" s="1702"/>
    </row>
    <row r="1814" spans="1:10" s="1906" customFormat="1" ht="17.25" hidden="1" customHeight="1">
      <c r="A1814" s="1923"/>
      <c r="B1814" s="1922"/>
      <c r="C1814" s="4289" t="s">
        <v>1024</v>
      </c>
      <c r="D1814" s="4290"/>
      <c r="E1814" s="1975">
        <f>SUM(E1815)</f>
        <v>0</v>
      </c>
      <c r="F1814" s="1975">
        <f>SUM(F1815)</f>
        <v>3657741</v>
      </c>
      <c r="G1814" s="2271">
        <f>SUM(G1815)</f>
        <v>0</v>
      </c>
      <c r="H1814" s="2311">
        <f t="shared" ref="H1814:H1822" si="135">G1814/F1814</f>
        <v>0</v>
      </c>
      <c r="J1814" s="1702"/>
    </row>
    <row r="1815" spans="1:10" s="1906" customFormat="1" ht="67.5" hidden="1" customHeight="1" thickBot="1">
      <c r="A1815" s="1913"/>
      <c r="B1815" s="1912"/>
      <c r="C1815" s="2286" t="s">
        <v>566</v>
      </c>
      <c r="D1815" s="2394" t="s">
        <v>1134</v>
      </c>
      <c r="E1815" s="1916">
        <v>0</v>
      </c>
      <c r="F1815" s="1916">
        <v>3657741</v>
      </c>
      <c r="G1815" s="1915">
        <v>0</v>
      </c>
      <c r="H1815" s="1907">
        <f t="shared" si="135"/>
        <v>0</v>
      </c>
      <c r="J1815" s="1702"/>
    </row>
    <row r="1816" spans="1:10" ht="26.25" hidden="1" customHeight="1" thickBot="1">
      <c r="A1816" s="1836"/>
      <c r="B1816" s="1822"/>
      <c r="C1816" s="2528" t="s">
        <v>605</v>
      </c>
      <c r="D1816" s="2527" t="s">
        <v>1022</v>
      </c>
      <c r="E1816" s="2526">
        <v>0</v>
      </c>
      <c r="F1816" s="2526"/>
      <c r="G1816" s="1903"/>
      <c r="H1816" s="1998" t="e">
        <f t="shared" si="135"/>
        <v>#DIV/0!</v>
      </c>
    </row>
    <row r="1817" spans="1:10" ht="17.100000000000001" customHeight="1" thickBot="1">
      <c r="A1817" s="1844" t="s">
        <v>829</v>
      </c>
      <c r="B1817" s="2525"/>
      <c r="C1817" s="2524"/>
      <c r="D1817" s="2523" t="s">
        <v>1163</v>
      </c>
      <c r="E1817" s="2522">
        <f>SUM(E1818,E1833,E1996,E2006)</f>
        <v>22220943</v>
      </c>
      <c r="F1817" s="2522">
        <f>SUM(F1818,F1833,F1877,F1996,F2006)</f>
        <v>27446005</v>
      </c>
      <c r="G1817" s="2521">
        <f>SUM(G1818,G1833,G1877,G1996,G2006)</f>
        <v>39992576</v>
      </c>
      <c r="H1817" s="1840">
        <f t="shared" si="135"/>
        <v>1.4571365122173519</v>
      </c>
    </row>
    <row r="1818" spans="1:10" s="1906" customFormat="1" ht="17.100000000000001" customHeight="1" thickBot="1">
      <c r="A1818" s="2517"/>
      <c r="B1818" s="2520" t="s">
        <v>828</v>
      </c>
      <c r="C1818" s="2519"/>
      <c r="D1818" s="2518" t="s">
        <v>327</v>
      </c>
      <c r="E1818" s="1968">
        <f>SUM(E1819)</f>
        <v>200000</v>
      </c>
      <c r="F1818" s="1968">
        <f>SUM(F1819)</f>
        <v>200000</v>
      </c>
      <c r="G1818" s="1967">
        <f>SUM(G1819)</f>
        <v>200000</v>
      </c>
      <c r="H1818" s="1966">
        <f t="shared" si="135"/>
        <v>1</v>
      </c>
      <c r="J1818" s="1702"/>
    </row>
    <row r="1819" spans="1:10" s="1906" customFormat="1" ht="17.100000000000001" customHeight="1">
      <c r="A1819" s="2517"/>
      <c r="B1819" s="4291"/>
      <c r="C1819" s="4279" t="s">
        <v>944</v>
      </c>
      <c r="D1819" s="4279"/>
      <c r="E1819" s="2509">
        <f>SUM(E1820,E1824)</f>
        <v>200000</v>
      </c>
      <c r="F1819" s="2509">
        <f>SUM(F1820,F1824)</f>
        <v>200000</v>
      </c>
      <c r="G1819" s="1964">
        <f>SUM(G1820,G1824)</f>
        <v>200000</v>
      </c>
      <c r="H1819" s="2508">
        <f t="shared" si="135"/>
        <v>1</v>
      </c>
      <c r="J1819" s="1702"/>
    </row>
    <row r="1820" spans="1:10" s="1906" customFormat="1" ht="17.100000000000001" hidden="1" customHeight="1">
      <c r="A1820" s="1923"/>
      <c r="B1820" s="4291"/>
      <c r="C1820" s="4260" t="s">
        <v>967</v>
      </c>
      <c r="D1820" s="4260"/>
      <c r="E1820" s="1919">
        <f t="shared" ref="E1820:G1821" si="136">SUM(E1821)</f>
        <v>0</v>
      </c>
      <c r="F1820" s="1919">
        <f t="shared" si="136"/>
        <v>100000</v>
      </c>
      <c r="G1820" s="1918">
        <f t="shared" si="136"/>
        <v>0</v>
      </c>
      <c r="H1820" s="2311">
        <f t="shared" si="135"/>
        <v>0</v>
      </c>
      <c r="J1820" s="1702"/>
    </row>
    <row r="1821" spans="1:10" s="1906" customFormat="1" ht="17.100000000000001" hidden="1" customHeight="1">
      <c r="A1821" s="1923"/>
      <c r="B1821" s="4291"/>
      <c r="C1821" s="4292" t="s">
        <v>961</v>
      </c>
      <c r="D1821" s="4292"/>
      <c r="E1821" s="2450">
        <f t="shared" si="136"/>
        <v>0</v>
      </c>
      <c r="F1821" s="2450">
        <f t="shared" si="136"/>
        <v>100000</v>
      </c>
      <c r="G1821" s="2443">
        <f t="shared" si="136"/>
        <v>0</v>
      </c>
      <c r="H1821" s="2337">
        <f t="shared" si="135"/>
        <v>0</v>
      </c>
      <c r="J1821" s="1702"/>
    </row>
    <row r="1822" spans="1:10" s="1906" customFormat="1" ht="17.25" hidden="1" customHeight="1">
      <c r="A1822" s="1923"/>
      <c r="B1822" s="4291"/>
      <c r="C1822" s="1924" t="s">
        <v>959</v>
      </c>
      <c r="D1822" s="2440" t="s">
        <v>958</v>
      </c>
      <c r="E1822" s="1919">
        <v>0</v>
      </c>
      <c r="F1822" s="1919">
        <v>100000</v>
      </c>
      <c r="G1822" s="1918">
        <v>0</v>
      </c>
      <c r="H1822" s="2311">
        <f t="shared" si="135"/>
        <v>0</v>
      </c>
      <c r="J1822" s="1702"/>
    </row>
    <row r="1823" spans="1:10" s="1906" customFormat="1" ht="15" hidden="1" customHeight="1">
      <c r="A1823" s="1923"/>
      <c r="B1823" s="4291"/>
      <c r="C1823" s="4146"/>
      <c r="D1823" s="4293"/>
      <c r="E1823" s="1975"/>
      <c r="F1823" s="1919"/>
      <c r="G1823" s="1918"/>
      <c r="H1823" s="2311"/>
      <c r="J1823" s="1702"/>
    </row>
    <row r="1824" spans="1:10" s="1906" customFormat="1" ht="17.100000000000001" customHeight="1">
      <c r="A1824" s="2517"/>
      <c r="B1824" s="4291"/>
      <c r="C1824" s="4260" t="s">
        <v>943</v>
      </c>
      <c r="D1824" s="4260"/>
      <c r="E1824" s="1919">
        <f>SUM(E1825)</f>
        <v>200000</v>
      </c>
      <c r="F1824" s="1919">
        <f>SUM(F1825)</f>
        <v>100000</v>
      </c>
      <c r="G1824" s="1918">
        <f>SUM(G1825)</f>
        <v>200000</v>
      </c>
      <c r="H1824" s="2311">
        <f t="shared" ref="H1824:H1842" si="137">G1824/F1824</f>
        <v>2</v>
      </c>
      <c r="J1824" s="1702"/>
    </row>
    <row r="1825" spans="1:10" s="1906" customFormat="1" ht="54.75" customHeight="1" thickBot="1">
      <c r="A1825" s="2517"/>
      <c r="B1825" s="4291"/>
      <c r="C1825" s="2516" t="s">
        <v>112</v>
      </c>
      <c r="D1825" s="2515" t="s">
        <v>1162</v>
      </c>
      <c r="E1825" s="2449">
        <v>200000</v>
      </c>
      <c r="F1825" s="1919">
        <v>100000</v>
      </c>
      <c r="G1825" s="1918">
        <v>200000</v>
      </c>
      <c r="H1825" s="2311">
        <f t="shared" si="137"/>
        <v>2</v>
      </c>
      <c r="J1825" s="1702" t="s">
        <v>1086</v>
      </c>
    </row>
    <row r="1826" spans="1:10" ht="33.75" hidden="1" customHeight="1" thickBot="1">
      <c r="A1826" s="2454"/>
      <c r="B1826" s="2457" t="s">
        <v>1161</v>
      </c>
      <c r="C1826" s="2456"/>
      <c r="D1826" s="2455" t="s">
        <v>1160</v>
      </c>
      <c r="E1826" s="1826">
        <v>0</v>
      </c>
      <c r="F1826" s="1897"/>
      <c r="G1826" s="1896"/>
      <c r="H1826" s="2354" t="e">
        <f t="shared" si="137"/>
        <v>#DIV/0!</v>
      </c>
    </row>
    <row r="1827" spans="1:10" ht="17.100000000000001" hidden="1" customHeight="1" thickBot="1">
      <c r="A1827" s="2454"/>
      <c r="B1827" s="4265"/>
      <c r="C1827" s="4278" t="s">
        <v>944</v>
      </c>
      <c r="D1827" s="4278"/>
      <c r="E1827" s="2514">
        <v>0</v>
      </c>
      <c r="F1827" s="1897"/>
      <c r="G1827" s="1896"/>
      <c r="H1827" s="2354" t="e">
        <f t="shared" si="137"/>
        <v>#DIV/0!</v>
      </c>
    </row>
    <row r="1828" spans="1:10" ht="17.100000000000001" hidden="1" customHeight="1" thickBot="1">
      <c r="A1828" s="2454"/>
      <c r="B1828" s="4265"/>
      <c r="C1828" s="4267" t="s">
        <v>943</v>
      </c>
      <c r="D1828" s="4267"/>
      <c r="E1828" s="1897">
        <v>0</v>
      </c>
      <c r="F1828" s="1897"/>
      <c r="G1828" s="1896"/>
      <c r="H1828" s="2354" t="e">
        <f t="shared" si="137"/>
        <v>#DIV/0!</v>
      </c>
    </row>
    <row r="1829" spans="1:10" ht="34.5" hidden="1" customHeight="1" thickBot="1">
      <c r="A1829" s="2454"/>
      <c r="B1829" s="4265"/>
      <c r="C1829" s="2375" t="s">
        <v>91</v>
      </c>
      <c r="D1829" s="2513" t="s">
        <v>942</v>
      </c>
      <c r="E1829" s="1897">
        <v>0</v>
      </c>
      <c r="F1829" s="1897"/>
      <c r="G1829" s="1896"/>
      <c r="H1829" s="2354" t="e">
        <f t="shared" si="137"/>
        <v>#DIV/0!</v>
      </c>
    </row>
    <row r="1830" spans="1:10" ht="17.25" hidden="1" customHeight="1" thickBot="1">
      <c r="A1830" s="2454"/>
      <c r="B1830" s="4265"/>
      <c r="C1830" s="4278" t="s">
        <v>941</v>
      </c>
      <c r="D1830" s="4278"/>
      <c r="E1830" s="2196">
        <v>0</v>
      </c>
      <c r="F1830" s="1897"/>
      <c r="G1830" s="1896"/>
      <c r="H1830" s="2354" t="e">
        <f t="shared" si="137"/>
        <v>#DIV/0!</v>
      </c>
    </row>
    <row r="1831" spans="1:10" ht="17.25" hidden="1" customHeight="1" thickBot="1">
      <c r="A1831" s="2454"/>
      <c r="B1831" s="4265"/>
      <c r="C1831" s="4263" t="s">
        <v>940</v>
      </c>
      <c r="D1831" s="4263"/>
      <c r="E1831" s="2510">
        <v>0</v>
      </c>
      <c r="F1831" s="1897"/>
      <c r="G1831" s="1896"/>
      <c r="H1831" s="2354" t="e">
        <f t="shared" si="137"/>
        <v>#DIV/0!</v>
      </c>
    </row>
    <row r="1832" spans="1:10" ht="39.75" hidden="1" customHeight="1" thickBot="1">
      <c r="A1832" s="2454"/>
      <c r="B1832" s="4265"/>
      <c r="C1832" s="2512" t="s">
        <v>939</v>
      </c>
      <c r="D1832" s="2511" t="s">
        <v>938</v>
      </c>
      <c r="E1832" s="2510">
        <v>0</v>
      </c>
      <c r="F1832" s="1897"/>
      <c r="G1832" s="1896"/>
      <c r="H1832" s="2451" t="e">
        <f t="shared" si="137"/>
        <v>#DIV/0!</v>
      </c>
    </row>
    <row r="1833" spans="1:10" s="1906" customFormat="1" ht="17.100000000000001" customHeight="1" thickBot="1">
      <c r="A1833" s="1923"/>
      <c r="B1833" s="1971" t="s">
        <v>826</v>
      </c>
      <c r="C1833" s="1970"/>
      <c r="D1833" s="1969" t="s">
        <v>330</v>
      </c>
      <c r="E1833" s="1968">
        <f>SUM(E1834,E1873)</f>
        <v>5798639</v>
      </c>
      <c r="F1833" s="1968">
        <f>SUM(F1834,F1873)</f>
        <v>6590018</v>
      </c>
      <c r="G1833" s="1967">
        <f>SUM(G1834,G1873)</f>
        <v>7767063</v>
      </c>
      <c r="H1833" s="1966">
        <f t="shared" si="137"/>
        <v>1.1786102860417074</v>
      </c>
      <c r="J1833" s="1702"/>
    </row>
    <row r="1834" spans="1:10" s="1906" customFormat="1" ht="17.100000000000001" customHeight="1">
      <c r="A1834" s="1923"/>
      <c r="B1834" s="1922"/>
      <c r="C1834" s="4279" t="s">
        <v>944</v>
      </c>
      <c r="D1834" s="4279"/>
      <c r="E1834" s="2509">
        <f>SUM(E1835,E1867,E1870)</f>
        <v>5316403</v>
      </c>
      <c r="F1834" s="2509">
        <f>SUM(F1835,F1867,F1870)</f>
        <v>5829640</v>
      </c>
      <c r="G1834" s="1964">
        <f>SUM(G1835,G1867,G1870)</f>
        <v>6764863</v>
      </c>
      <c r="H1834" s="2508">
        <f t="shared" si="137"/>
        <v>1.1604255151261484</v>
      </c>
      <c r="J1834" s="1702"/>
    </row>
    <row r="1835" spans="1:10" s="1906" customFormat="1" ht="17.100000000000001" customHeight="1">
      <c r="A1835" s="1923"/>
      <c r="B1835" s="1922"/>
      <c r="C1835" s="4260" t="s">
        <v>967</v>
      </c>
      <c r="D1835" s="4260"/>
      <c r="E1835" s="1919">
        <f>SUM(E1836,E1844)</f>
        <v>4501955</v>
      </c>
      <c r="F1835" s="1919">
        <f>SUM(F1836,F1844)</f>
        <v>5015192</v>
      </c>
      <c r="G1835" s="1918">
        <f>SUM(G1836,G1844)</f>
        <v>5798576</v>
      </c>
      <c r="H1835" s="2311">
        <f t="shared" si="137"/>
        <v>1.1562021952499526</v>
      </c>
      <c r="J1835" s="1702"/>
    </row>
    <row r="1836" spans="1:10" s="1906" customFormat="1" ht="17.100000000000001" customHeight="1">
      <c r="A1836" s="1923"/>
      <c r="B1836" s="1922"/>
      <c r="C1836" s="4276" t="s">
        <v>966</v>
      </c>
      <c r="D1836" s="4276"/>
      <c r="E1836" s="1961">
        <f>SUM(E1837:E1842)</f>
        <v>3622234</v>
      </c>
      <c r="F1836" s="1961">
        <f>SUM(F1837:F1842)</f>
        <v>3968812</v>
      </c>
      <c r="G1836" s="1960">
        <f>SUM(G1837:G1842)</f>
        <v>4665569</v>
      </c>
      <c r="H1836" s="2337">
        <f t="shared" si="137"/>
        <v>1.1755580763210753</v>
      </c>
      <c r="J1836" s="1702" t="s">
        <v>1086</v>
      </c>
    </row>
    <row r="1837" spans="1:10" s="1906" customFormat="1" ht="17.100000000000001" customHeight="1">
      <c r="A1837" s="1923"/>
      <c r="B1837" s="1922"/>
      <c r="C1837" s="2406" t="s">
        <v>1016</v>
      </c>
      <c r="D1837" s="2414" t="s">
        <v>1015</v>
      </c>
      <c r="E1837" s="1919">
        <v>2804010</v>
      </c>
      <c r="F1837" s="1919">
        <v>3104028</v>
      </c>
      <c r="G1837" s="1918">
        <v>3631743</v>
      </c>
      <c r="H1837" s="2311">
        <f t="shared" si="137"/>
        <v>1.1700097421801607</v>
      </c>
      <c r="J1837" s="1702"/>
    </row>
    <row r="1838" spans="1:10" s="1906" customFormat="1" ht="17.100000000000001" customHeight="1">
      <c r="A1838" s="1923"/>
      <c r="B1838" s="1922"/>
      <c r="C1838" s="2406" t="s">
        <v>1014</v>
      </c>
      <c r="D1838" s="2414" t="s">
        <v>1013</v>
      </c>
      <c r="E1838" s="1919">
        <v>196678</v>
      </c>
      <c r="F1838" s="1919">
        <v>196678</v>
      </c>
      <c r="G1838" s="1918">
        <v>231931</v>
      </c>
      <c r="H1838" s="2311">
        <f t="shared" si="137"/>
        <v>1.1792422131605975</v>
      </c>
      <c r="J1838" s="1702"/>
    </row>
    <row r="1839" spans="1:10" s="1906" customFormat="1" ht="17.100000000000001" customHeight="1">
      <c r="A1839" s="1923"/>
      <c r="B1839" s="1922"/>
      <c r="C1839" s="2406" t="s">
        <v>965</v>
      </c>
      <c r="D1839" s="2414" t="s">
        <v>964</v>
      </c>
      <c r="E1839" s="1919">
        <v>502038</v>
      </c>
      <c r="F1839" s="1919">
        <v>553850</v>
      </c>
      <c r="G1839" s="1918">
        <v>654705</v>
      </c>
      <c r="H1839" s="2311">
        <f t="shared" si="137"/>
        <v>1.1820980409858264</v>
      </c>
      <c r="J1839" s="1702"/>
    </row>
    <row r="1840" spans="1:10" s="1906" customFormat="1" ht="16.5" customHeight="1">
      <c r="A1840" s="1923"/>
      <c r="B1840" s="1922"/>
      <c r="C1840" s="2406" t="s">
        <v>963</v>
      </c>
      <c r="D1840" s="2414" t="s">
        <v>962</v>
      </c>
      <c r="E1840" s="1919">
        <v>62382</v>
      </c>
      <c r="F1840" s="1919">
        <v>69732</v>
      </c>
      <c r="G1840" s="1918">
        <v>92927</v>
      </c>
      <c r="H1840" s="2311">
        <f t="shared" si="137"/>
        <v>1.3326306430333277</v>
      </c>
      <c r="J1840" s="1702"/>
    </row>
    <row r="1841" spans="1:10" s="1906" customFormat="1" ht="17.100000000000001" customHeight="1">
      <c r="A1841" s="1923"/>
      <c r="B1841" s="1922"/>
      <c r="C1841" s="2499" t="s">
        <v>974</v>
      </c>
      <c r="D1841" s="2498" t="s">
        <v>973</v>
      </c>
      <c r="E1841" s="1919">
        <v>32400</v>
      </c>
      <c r="F1841" s="1919">
        <v>15900</v>
      </c>
      <c r="G1841" s="1918">
        <v>14400</v>
      </c>
      <c r="H1841" s="2311">
        <f t="shared" si="137"/>
        <v>0.90566037735849059</v>
      </c>
      <c r="J1841" s="1702"/>
    </row>
    <row r="1842" spans="1:10" s="1906" customFormat="1" ht="17.100000000000001" customHeight="1">
      <c r="A1842" s="1923"/>
      <c r="B1842" s="1922"/>
      <c r="C1842" s="2507" t="s">
        <v>1012</v>
      </c>
      <c r="D1842" s="3723" t="s">
        <v>1011</v>
      </c>
      <c r="E1842" s="3724">
        <v>24726</v>
      </c>
      <c r="F1842" s="3724">
        <v>28624</v>
      </c>
      <c r="G1842" s="3725">
        <v>39863</v>
      </c>
      <c r="H1842" s="2311">
        <f t="shared" si="137"/>
        <v>1.3926425377305758</v>
      </c>
      <c r="J1842" s="1702"/>
    </row>
    <row r="1843" spans="1:10" ht="14.25" customHeight="1" thickBot="1">
      <c r="A1843" s="2195"/>
      <c r="B1843" s="2393"/>
      <c r="C1843" s="2390"/>
      <c r="D1843" s="2390"/>
      <c r="E1843" s="2391"/>
      <c r="F1843" s="3726"/>
      <c r="G1843" s="2191"/>
      <c r="H1843" s="2354"/>
    </row>
    <row r="1844" spans="1:10" ht="17.100000000000001" customHeight="1">
      <c r="A1844" s="1836"/>
      <c r="B1844" s="1822"/>
      <c r="C1844" s="4272" t="s">
        <v>961</v>
      </c>
      <c r="D1844" s="4272"/>
      <c r="E1844" s="2771">
        <f>SUM(E1845:E1865)</f>
        <v>879721</v>
      </c>
      <c r="F1844" s="2771">
        <f>SUM(F1845:F1865)</f>
        <v>1046380</v>
      </c>
      <c r="G1844" s="1808">
        <f>SUM(G1845:G1865)</f>
        <v>1133007</v>
      </c>
      <c r="H1844" s="2489">
        <f t="shared" ref="H1844:H1853" si="138">G1844/F1844</f>
        <v>1.0827873239167416</v>
      </c>
      <c r="J1844" s="1702" t="s">
        <v>1086</v>
      </c>
    </row>
    <row r="1845" spans="1:10" s="1906" customFormat="1" ht="17.100000000000001" customHeight="1">
      <c r="A1845" s="1923"/>
      <c r="B1845" s="1922"/>
      <c r="C1845" s="2422" t="s">
        <v>1048</v>
      </c>
      <c r="D1845" s="2421" t="s">
        <v>1047</v>
      </c>
      <c r="E1845" s="1850">
        <v>7646</v>
      </c>
      <c r="F1845" s="1850">
        <v>7646</v>
      </c>
      <c r="G1845" s="1849">
        <v>15037</v>
      </c>
      <c r="H1845" s="2419">
        <f t="shared" si="138"/>
        <v>1.9666492283546952</v>
      </c>
      <c r="J1845" s="1702"/>
    </row>
    <row r="1846" spans="1:10" ht="17.100000000000001" hidden="1" customHeight="1">
      <c r="A1846" s="1836"/>
      <c r="B1846" s="1822"/>
      <c r="C1846" s="2422" t="s">
        <v>1010</v>
      </c>
      <c r="D1846" s="2421" t="s">
        <v>1009</v>
      </c>
      <c r="E1846" s="1850">
        <v>23000</v>
      </c>
      <c r="F1846" s="1850">
        <v>23000</v>
      </c>
      <c r="G1846" s="1849">
        <v>0</v>
      </c>
      <c r="H1846" s="2419">
        <f t="shared" si="138"/>
        <v>0</v>
      </c>
    </row>
    <row r="1847" spans="1:10" s="1906" customFormat="1" ht="17.100000000000001" customHeight="1">
      <c r="A1847" s="1923"/>
      <c r="B1847" s="1922"/>
      <c r="C1847" s="2422" t="s">
        <v>613</v>
      </c>
      <c r="D1847" s="2421" t="s">
        <v>960</v>
      </c>
      <c r="E1847" s="1850">
        <v>150995</v>
      </c>
      <c r="F1847" s="1850">
        <v>174601</v>
      </c>
      <c r="G1847" s="1849">
        <v>216112</v>
      </c>
      <c r="H1847" s="2419">
        <f t="shared" si="138"/>
        <v>1.2377477792223412</v>
      </c>
      <c r="J1847" s="1702"/>
    </row>
    <row r="1848" spans="1:10" s="1906" customFormat="1" ht="17.100000000000001" customHeight="1">
      <c r="A1848" s="1923"/>
      <c r="B1848" s="1922"/>
      <c r="C1848" s="2422" t="s">
        <v>1008</v>
      </c>
      <c r="D1848" s="2421" t="s">
        <v>1007</v>
      </c>
      <c r="E1848" s="1850">
        <v>4619</v>
      </c>
      <c r="F1848" s="1850">
        <v>4619</v>
      </c>
      <c r="G1848" s="1849">
        <v>5592</v>
      </c>
      <c r="H1848" s="2419">
        <f t="shared" si="138"/>
        <v>1.2106516562026413</v>
      </c>
      <c r="J1848" s="1702"/>
    </row>
    <row r="1849" spans="1:10" s="1906" customFormat="1" ht="17.100000000000001" customHeight="1">
      <c r="A1849" s="1923"/>
      <c r="B1849" s="1922"/>
      <c r="C1849" s="2422" t="s">
        <v>1004</v>
      </c>
      <c r="D1849" s="2421" t="s">
        <v>1003</v>
      </c>
      <c r="E1849" s="1850">
        <v>102486</v>
      </c>
      <c r="F1849" s="1850">
        <v>102486</v>
      </c>
      <c r="G1849" s="1849">
        <v>132039</v>
      </c>
      <c r="H1849" s="2419">
        <f t="shared" si="138"/>
        <v>1.2883613371582461</v>
      </c>
      <c r="J1849" s="1702"/>
    </row>
    <row r="1850" spans="1:10" s="1906" customFormat="1" ht="17.100000000000001" customHeight="1" thickBot="1">
      <c r="A1850" s="1922"/>
      <c r="B1850" s="1922"/>
      <c r="C1850" s="2486" t="s">
        <v>1002</v>
      </c>
      <c r="D1850" s="2485" t="s">
        <v>1001</v>
      </c>
      <c r="E1850" s="1850">
        <v>111996</v>
      </c>
      <c r="F1850" s="1850">
        <v>140496</v>
      </c>
      <c r="G1850" s="1849">
        <v>166884</v>
      </c>
      <c r="H1850" s="2017">
        <f t="shared" si="138"/>
        <v>1.1878202938161941</v>
      </c>
      <c r="J1850" s="1702"/>
    </row>
    <row r="1851" spans="1:10" s="1906" customFormat="1" ht="17.100000000000001" customHeight="1" thickBot="1">
      <c r="A1851" s="1913"/>
      <c r="B1851" s="1912"/>
      <c r="C1851" s="2114" t="s">
        <v>1000</v>
      </c>
      <c r="D1851" s="1740" t="s">
        <v>999</v>
      </c>
      <c r="E1851" s="1873">
        <v>5880</v>
      </c>
      <c r="F1851" s="1873">
        <v>5880</v>
      </c>
      <c r="G1851" s="1872">
        <v>4350</v>
      </c>
      <c r="H1851" s="2099">
        <f t="shared" si="138"/>
        <v>0.73979591836734693</v>
      </c>
      <c r="J1851" s="1702"/>
    </row>
    <row r="1852" spans="1:10" s="1906" customFormat="1" ht="17.100000000000001" customHeight="1">
      <c r="A1852" s="2321"/>
      <c r="B1852" s="2321"/>
      <c r="C1852" s="2506" t="s">
        <v>959</v>
      </c>
      <c r="D1852" s="2505" t="s">
        <v>958</v>
      </c>
      <c r="E1852" s="2142">
        <v>258388</v>
      </c>
      <c r="F1852" s="2142">
        <v>369888</v>
      </c>
      <c r="G1852" s="2141">
        <v>347875</v>
      </c>
      <c r="H1852" s="2419">
        <f t="shared" si="138"/>
        <v>0.9404873907777489</v>
      </c>
      <c r="J1852" s="1702"/>
    </row>
    <row r="1853" spans="1:10" s="1906" customFormat="1" ht="16.5" customHeight="1">
      <c r="A1853" s="1923"/>
      <c r="B1853" s="1922"/>
      <c r="C1853" s="2488" t="s">
        <v>998</v>
      </c>
      <c r="D1853" s="2504" t="s">
        <v>997</v>
      </c>
      <c r="E1853" s="2500">
        <v>14569</v>
      </c>
      <c r="F1853" s="2500">
        <v>14569</v>
      </c>
      <c r="G1853" s="1802">
        <v>19308</v>
      </c>
      <c r="H1853" s="2503">
        <f t="shared" si="138"/>
        <v>1.3252797034799917</v>
      </c>
      <c r="J1853" s="1702"/>
    </row>
    <row r="1854" spans="1:10" ht="16.5" hidden="1" customHeight="1">
      <c r="A1854" s="1836"/>
      <c r="B1854" s="1822"/>
      <c r="C1854" s="2502" t="s">
        <v>1123</v>
      </c>
      <c r="D1854" s="2501" t="s">
        <v>1119</v>
      </c>
      <c r="E1854" s="1850">
        <v>0</v>
      </c>
      <c r="F1854" s="1850"/>
      <c r="G1854" s="1849"/>
      <c r="H1854" s="2419"/>
    </row>
    <row r="1855" spans="1:10" ht="16.5" customHeight="1">
      <c r="A1855" s="1822"/>
      <c r="B1855" s="1822"/>
      <c r="C1855" s="2486" t="s">
        <v>996</v>
      </c>
      <c r="D1855" s="2485" t="s">
        <v>995</v>
      </c>
      <c r="E1855" s="1850">
        <v>32538</v>
      </c>
      <c r="F1855" s="1850">
        <v>32538</v>
      </c>
      <c r="G1855" s="1849">
        <v>32132</v>
      </c>
      <c r="H1855" s="2419">
        <f>G1855/F1855</f>
        <v>0.98752228163992872</v>
      </c>
    </row>
    <row r="1856" spans="1:10" ht="25.5" hidden="1" customHeight="1">
      <c r="A1856" s="1836"/>
      <c r="B1856" s="1822"/>
      <c r="C1856" s="2502" t="s">
        <v>994</v>
      </c>
      <c r="D1856" s="2501" t="s">
        <v>993</v>
      </c>
      <c r="E1856" s="2500">
        <v>0</v>
      </c>
      <c r="F1856" s="1850"/>
      <c r="G1856" s="1849"/>
      <c r="H1856" s="2419"/>
    </row>
    <row r="1857" spans="1:10" s="1906" customFormat="1" ht="17.100000000000001" customHeight="1">
      <c r="A1857" s="1923"/>
      <c r="B1857" s="1922"/>
      <c r="C1857" s="2487" t="s">
        <v>992</v>
      </c>
      <c r="D1857" s="2421" t="s">
        <v>991</v>
      </c>
      <c r="E1857" s="1850">
        <v>11015</v>
      </c>
      <c r="F1857" s="1850">
        <v>11015</v>
      </c>
      <c r="G1857" s="1849">
        <v>12000</v>
      </c>
      <c r="H1857" s="2419">
        <f t="shared" ref="H1857:H1865" si="139">G1857/F1857</f>
        <v>1.0894235133908308</v>
      </c>
      <c r="J1857" s="1702"/>
    </row>
    <row r="1858" spans="1:10" ht="17.100000000000001" customHeight="1">
      <c r="A1858" s="1822"/>
      <c r="B1858" s="1822"/>
      <c r="C1858" s="2486" t="s">
        <v>990</v>
      </c>
      <c r="D1858" s="2485" t="s">
        <v>989</v>
      </c>
      <c r="E1858" s="1850">
        <v>2000</v>
      </c>
      <c r="F1858" s="1850">
        <v>2000</v>
      </c>
      <c r="G1858" s="1849">
        <v>3000</v>
      </c>
      <c r="H1858" s="2419">
        <f t="shared" si="139"/>
        <v>1.5</v>
      </c>
    </row>
    <row r="1859" spans="1:10" s="1906" customFormat="1" ht="17.100000000000001" customHeight="1">
      <c r="A1859" s="1923"/>
      <c r="B1859" s="1922"/>
      <c r="C1859" s="2499" t="s">
        <v>988</v>
      </c>
      <c r="D1859" s="2498" t="s">
        <v>987</v>
      </c>
      <c r="E1859" s="2496">
        <v>8181</v>
      </c>
      <c r="F1859" s="2496">
        <v>8181</v>
      </c>
      <c r="G1859" s="1929">
        <v>18037</v>
      </c>
      <c r="H1859" s="2497">
        <f t="shared" si="139"/>
        <v>2.2047426964918713</v>
      </c>
      <c r="J1859" s="1702"/>
    </row>
    <row r="1860" spans="1:10" s="1906" customFormat="1" ht="17.100000000000001" customHeight="1">
      <c r="A1860" s="1923"/>
      <c r="B1860" s="1922"/>
      <c r="C1860" s="2406" t="s">
        <v>986</v>
      </c>
      <c r="D1860" s="2414" t="s">
        <v>985</v>
      </c>
      <c r="E1860" s="1919">
        <v>93437</v>
      </c>
      <c r="F1860" s="1919">
        <v>93437</v>
      </c>
      <c r="G1860" s="1918">
        <v>91741</v>
      </c>
      <c r="H1860" s="2311">
        <f t="shared" si="139"/>
        <v>0.98184873230090863</v>
      </c>
      <c r="J1860" s="1702"/>
    </row>
    <row r="1861" spans="1:10" s="1906" customFormat="1" ht="17.100000000000001" customHeight="1">
      <c r="A1861" s="1923"/>
      <c r="B1861" s="1922"/>
      <c r="C1861" s="2406" t="s">
        <v>984</v>
      </c>
      <c r="D1861" s="2414" t="s">
        <v>983</v>
      </c>
      <c r="E1861" s="1919">
        <v>18052</v>
      </c>
      <c r="F1861" s="1919">
        <v>18052</v>
      </c>
      <c r="G1861" s="1918">
        <v>22640</v>
      </c>
      <c r="H1861" s="2311">
        <f t="shared" si="139"/>
        <v>1.2541546643031243</v>
      </c>
      <c r="J1861" s="1702"/>
    </row>
    <row r="1862" spans="1:10" s="1906" customFormat="1" ht="17.100000000000001" customHeight="1">
      <c r="A1862" s="1923"/>
      <c r="B1862" s="1922"/>
      <c r="C1862" s="2406" t="s">
        <v>1089</v>
      </c>
      <c r="D1862" s="2414" t="s">
        <v>1092</v>
      </c>
      <c r="E1862" s="1919">
        <v>16419</v>
      </c>
      <c r="F1862" s="1919">
        <v>16419</v>
      </c>
      <c r="G1862" s="1918">
        <v>20830</v>
      </c>
      <c r="H1862" s="2311">
        <f t="shared" si="139"/>
        <v>1.2686521712649979</v>
      </c>
      <c r="J1862" s="1702"/>
    </row>
    <row r="1863" spans="1:10" s="1906" customFormat="1" ht="17.100000000000001" customHeight="1">
      <c r="A1863" s="1923"/>
      <c r="B1863" s="1922"/>
      <c r="C1863" s="2417" t="s">
        <v>1158</v>
      </c>
      <c r="D1863" s="2414" t="s">
        <v>1157</v>
      </c>
      <c r="E1863" s="1919">
        <v>2500</v>
      </c>
      <c r="F1863" s="1919">
        <v>2500</v>
      </c>
      <c r="G1863" s="1918">
        <v>2500</v>
      </c>
      <c r="H1863" s="2311">
        <f t="shared" si="139"/>
        <v>1</v>
      </c>
      <c r="J1863" s="1702"/>
    </row>
    <row r="1864" spans="1:10" s="1906" customFormat="1" ht="17.100000000000001" customHeight="1">
      <c r="A1864" s="1923"/>
      <c r="B1864" s="1922"/>
      <c r="C1864" s="1974" t="s">
        <v>1122</v>
      </c>
      <c r="D1864" s="2414" t="s">
        <v>1118</v>
      </c>
      <c r="E1864" s="1919">
        <v>600</v>
      </c>
      <c r="F1864" s="1919">
        <v>3653</v>
      </c>
      <c r="G1864" s="1918">
        <v>1600</v>
      </c>
      <c r="H1864" s="2311">
        <f t="shared" si="139"/>
        <v>0.4379961675335341</v>
      </c>
      <c r="J1864" s="1702"/>
    </row>
    <row r="1865" spans="1:10" s="1906" customFormat="1" ht="18" customHeight="1">
      <c r="A1865" s="1923"/>
      <c r="B1865" s="1922"/>
      <c r="C1865" s="2408" t="s">
        <v>982</v>
      </c>
      <c r="D1865" s="2413" t="s">
        <v>981</v>
      </c>
      <c r="E1865" s="1919">
        <v>15400</v>
      </c>
      <c r="F1865" s="1919">
        <v>15400</v>
      </c>
      <c r="G1865" s="1918">
        <v>21330</v>
      </c>
      <c r="H1865" s="2311">
        <f t="shared" si="139"/>
        <v>1.3850649350649351</v>
      </c>
      <c r="J1865" s="1702"/>
    </row>
    <row r="1866" spans="1:10" ht="17.100000000000001" customHeight="1">
      <c r="A1866" s="1836"/>
      <c r="B1866" s="1822"/>
      <c r="C1866" s="2483"/>
      <c r="D1866" s="2484"/>
      <c r="E1866" s="2483"/>
      <c r="F1866" s="1897"/>
      <c r="G1866" s="1896"/>
      <c r="H1866" s="2354"/>
    </row>
    <row r="1867" spans="1:10" s="1906" customFormat="1" ht="17.100000000000001" customHeight="1">
      <c r="A1867" s="1923"/>
      <c r="B1867" s="1922"/>
      <c r="C1867" s="4273" t="s">
        <v>943</v>
      </c>
      <c r="D1867" s="4273"/>
      <c r="E1867" s="2496">
        <f>SUM(E1868)</f>
        <v>800000</v>
      </c>
      <c r="F1867" s="2496">
        <f>SUM(F1868)</f>
        <v>800000</v>
      </c>
      <c r="G1867" s="1929">
        <f>SUM(G1868)</f>
        <v>950000</v>
      </c>
      <c r="H1867" s="2311">
        <f>G1867/F1867</f>
        <v>1.1875</v>
      </c>
      <c r="J1867" s="1702" t="s">
        <v>1086</v>
      </c>
    </row>
    <row r="1868" spans="1:10" s="1906" customFormat="1" ht="53.25" customHeight="1">
      <c r="A1868" s="1923"/>
      <c r="B1868" s="1922"/>
      <c r="C1868" s="2406" t="s">
        <v>112</v>
      </c>
      <c r="D1868" s="2414" t="s">
        <v>956</v>
      </c>
      <c r="E1868" s="1919">
        <v>800000</v>
      </c>
      <c r="F1868" s="1919">
        <v>800000</v>
      </c>
      <c r="G1868" s="1918">
        <v>950000</v>
      </c>
      <c r="H1868" s="2311">
        <f>G1868/F1868</f>
        <v>1.1875</v>
      </c>
      <c r="J1868" s="1702"/>
    </row>
    <row r="1869" spans="1:10" ht="15" customHeight="1">
      <c r="A1869" s="1836"/>
      <c r="B1869" s="1822"/>
      <c r="C1869" s="2163"/>
      <c r="D1869" s="2163"/>
      <c r="E1869" s="2162"/>
      <c r="F1869" s="1897"/>
      <c r="G1869" s="1896"/>
      <c r="H1869" s="2354"/>
    </row>
    <row r="1870" spans="1:10" s="1906" customFormat="1" ht="17.100000000000001" customHeight="1">
      <c r="A1870" s="1923"/>
      <c r="B1870" s="2158"/>
      <c r="C1870" s="4268" t="s">
        <v>952</v>
      </c>
      <c r="D1870" s="4268"/>
      <c r="E1870" s="2449">
        <f>SUM(E1871)</f>
        <v>14448</v>
      </c>
      <c r="F1870" s="2449">
        <f>SUM(F1871)</f>
        <v>14448</v>
      </c>
      <c r="G1870" s="2441">
        <f>SUM(G1871)</f>
        <v>16287</v>
      </c>
      <c r="H1870" s="2311">
        <f>G1870/F1870</f>
        <v>1.1272840531561461</v>
      </c>
      <c r="J1870" s="1702" t="s">
        <v>1086</v>
      </c>
    </row>
    <row r="1871" spans="1:10" s="1906" customFormat="1" ht="17.25" customHeight="1">
      <c r="A1871" s="1923"/>
      <c r="B1871" s="2158"/>
      <c r="C1871" s="2406" t="s">
        <v>980</v>
      </c>
      <c r="D1871" s="2414" t="s">
        <v>979</v>
      </c>
      <c r="E1871" s="2482">
        <v>14448</v>
      </c>
      <c r="F1871" s="1919">
        <v>14448</v>
      </c>
      <c r="G1871" s="1918">
        <v>16287</v>
      </c>
      <c r="H1871" s="2311">
        <f>G1871/F1871</f>
        <v>1.1272840531561461</v>
      </c>
      <c r="J1871" s="1702"/>
    </row>
    <row r="1872" spans="1:10" ht="16.5" customHeight="1">
      <c r="A1872" s="1836"/>
      <c r="B1872" s="1773"/>
      <c r="C1872" s="2495"/>
      <c r="D1872" s="2494"/>
      <c r="E1872" s="2000"/>
      <c r="F1872" s="1897"/>
      <c r="G1872" s="1896"/>
      <c r="H1872" s="2354"/>
    </row>
    <row r="1873" spans="1:10" s="1906" customFormat="1" ht="17.25" customHeight="1">
      <c r="A1873" s="1923"/>
      <c r="B1873" s="2158"/>
      <c r="C1873" s="4274" t="s">
        <v>941</v>
      </c>
      <c r="D1873" s="4274"/>
      <c r="E1873" s="1927">
        <f>SUM(E1874)</f>
        <v>482236</v>
      </c>
      <c r="F1873" s="1927">
        <f>SUM(F1874)</f>
        <v>760378</v>
      </c>
      <c r="G1873" s="1926">
        <f>SUM(G1874)</f>
        <v>1002200</v>
      </c>
      <c r="H1873" s="2475">
        <f>G1873/F1873</f>
        <v>1.3180286646904567</v>
      </c>
      <c r="J1873" s="1702" t="s">
        <v>1086</v>
      </c>
    </row>
    <row r="1874" spans="1:10" s="1906" customFormat="1" ht="17.25" customHeight="1">
      <c r="A1874" s="1923"/>
      <c r="B1874" s="2158"/>
      <c r="C1874" s="4133" t="s">
        <v>940</v>
      </c>
      <c r="D1874" s="4275"/>
      <c r="E1874" s="1919">
        <f>SUM(E1875)</f>
        <v>482236</v>
      </c>
      <c r="F1874" s="2493">
        <f>SUM(F1875:F1876)</f>
        <v>760378</v>
      </c>
      <c r="G1874" s="1918">
        <f>SUM(G1875:G1876)</f>
        <v>1002200</v>
      </c>
      <c r="H1874" s="2311">
        <f>G1874/F1874</f>
        <v>1.3180286646904567</v>
      </c>
      <c r="J1874" s="1702"/>
    </row>
    <row r="1875" spans="1:10" s="1906" customFormat="1" ht="16.5" customHeight="1">
      <c r="A1875" s="1923"/>
      <c r="B1875" s="2158"/>
      <c r="C1875" s="2492" t="s">
        <v>546</v>
      </c>
      <c r="D1875" s="2491" t="s">
        <v>1023</v>
      </c>
      <c r="E1875" s="1919">
        <v>482236</v>
      </c>
      <c r="F1875" s="1919">
        <v>482236</v>
      </c>
      <c r="G1875" s="1918">
        <v>711000</v>
      </c>
      <c r="H1875" s="2311">
        <f>G1875/F1875</f>
        <v>1.4743818379382709</v>
      </c>
      <c r="J1875" s="1702"/>
    </row>
    <row r="1876" spans="1:10" s="1906" customFormat="1" ht="16.5" customHeight="1" thickBot="1">
      <c r="A1876" s="1923"/>
      <c r="B1876" s="2158"/>
      <c r="C1876" s="1989" t="s">
        <v>553</v>
      </c>
      <c r="D1876" s="2491" t="s">
        <v>1072</v>
      </c>
      <c r="E1876" s="1930"/>
      <c r="F1876" s="1930">
        <v>278142</v>
      </c>
      <c r="G1876" s="1929">
        <v>291200</v>
      </c>
      <c r="H1876" s="2311">
        <f>G1876/F1876</f>
        <v>1.0469472427752731</v>
      </c>
      <c r="J1876" s="1702"/>
    </row>
    <row r="1877" spans="1:10" s="1906" customFormat="1" ht="17.100000000000001" customHeight="1" thickBot="1">
      <c r="A1877" s="1923"/>
      <c r="B1877" s="1971" t="s">
        <v>517</v>
      </c>
      <c r="C1877" s="1970"/>
      <c r="D1877" s="1969" t="s">
        <v>1159</v>
      </c>
      <c r="E1877" s="1968">
        <f>SUM(E1878,E1970)</f>
        <v>5798639</v>
      </c>
      <c r="F1877" s="1968">
        <f>SUM(F1878,F1970)</f>
        <v>0</v>
      </c>
      <c r="G1877" s="1967">
        <f>SUM(G1878,G1970)</f>
        <v>21431283</v>
      </c>
      <c r="H1877" s="1966"/>
      <c r="J1877" s="1702"/>
    </row>
    <row r="1878" spans="1:10" s="1906" customFormat="1" ht="17.100000000000001" customHeight="1">
      <c r="A1878" s="1923"/>
      <c r="B1878" s="1922"/>
      <c r="C1878" s="4130" t="s">
        <v>944</v>
      </c>
      <c r="D1878" s="4130"/>
      <c r="E1878" s="1965">
        <f>SUM(E1879,E1911,E1914)</f>
        <v>5316403</v>
      </c>
      <c r="F1878" s="1965">
        <f>SUM(F1879,F1911,F1914,F1916)</f>
        <v>0</v>
      </c>
      <c r="G1878" s="1964">
        <f>SUM(G1879,G1911,G1914,G1916)</f>
        <v>21431283</v>
      </c>
      <c r="H1878" s="1963"/>
      <c r="J1878" s="1702"/>
    </row>
    <row r="1879" spans="1:10" s="1906" customFormat="1" ht="17.100000000000001" hidden="1" customHeight="1">
      <c r="A1879" s="1923"/>
      <c r="B1879" s="1922"/>
      <c r="C1879" s="4260" t="s">
        <v>967</v>
      </c>
      <c r="D1879" s="4260"/>
      <c r="E1879" s="1919">
        <f>SUM(E1880,E1888)</f>
        <v>4501955</v>
      </c>
      <c r="F1879" s="1919">
        <f>SUM(F1880,F1888)</f>
        <v>0</v>
      </c>
      <c r="G1879" s="1918">
        <f>SUM(G1880,G1888)</f>
        <v>0</v>
      </c>
      <c r="H1879" s="2311" t="e">
        <f t="shared" ref="H1879:H1886" si="140">G1879/F1879</f>
        <v>#DIV/0!</v>
      </c>
      <c r="J1879" s="1702"/>
    </row>
    <row r="1880" spans="1:10" s="1906" customFormat="1" ht="17.100000000000001" hidden="1" customHeight="1">
      <c r="A1880" s="1923"/>
      <c r="B1880" s="1922"/>
      <c r="C1880" s="4276" t="s">
        <v>966</v>
      </c>
      <c r="D1880" s="4276"/>
      <c r="E1880" s="1961">
        <f>SUM(E1881:E1886)</f>
        <v>3622234</v>
      </c>
      <c r="F1880" s="1961">
        <f>SUM(F1881:F1886)</f>
        <v>0</v>
      </c>
      <c r="G1880" s="1960">
        <f>SUM(G1881:G1886)</f>
        <v>0</v>
      </c>
      <c r="H1880" s="2337" t="e">
        <f t="shared" si="140"/>
        <v>#DIV/0!</v>
      </c>
      <c r="J1880" s="1702"/>
    </row>
    <row r="1881" spans="1:10" s="1906" customFormat="1" ht="17.100000000000001" hidden="1" customHeight="1">
      <c r="A1881" s="1923"/>
      <c r="B1881" s="1922"/>
      <c r="C1881" s="2406" t="s">
        <v>1016</v>
      </c>
      <c r="D1881" s="2414" t="s">
        <v>1015</v>
      </c>
      <c r="E1881" s="1919">
        <v>2804010</v>
      </c>
      <c r="F1881" s="1919"/>
      <c r="G1881" s="1918"/>
      <c r="H1881" s="2311" t="e">
        <f t="shared" si="140"/>
        <v>#DIV/0!</v>
      </c>
      <c r="J1881" s="1702"/>
    </row>
    <row r="1882" spans="1:10" s="1906" customFormat="1" ht="17.100000000000001" hidden="1" customHeight="1">
      <c r="A1882" s="1923"/>
      <c r="B1882" s="1922"/>
      <c r="C1882" s="2406" t="s">
        <v>1014</v>
      </c>
      <c r="D1882" s="2414" t="s">
        <v>1013</v>
      </c>
      <c r="E1882" s="1919">
        <v>196678</v>
      </c>
      <c r="F1882" s="1919"/>
      <c r="G1882" s="1918"/>
      <c r="H1882" s="2311" t="e">
        <f t="shared" si="140"/>
        <v>#DIV/0!</v>
      </c>
      <c r="J1882" s="1702"/>
    </row>
    <row r="1883" spans="1:10" s="1906" customFormat="1" ht="17.100000000000001" hidden="1" customHeight="1">
      <c r="A1883" s="1923"/>
      <c r="B1883" s="1922"/>
      <c r="C1883" s="2406" t="s">
        <v>965</v>
      </c>
      <c r="D1883" s="2414" t="s">
        <v>964</v>
      </c>
      <c r="E1883" s="1919">
        <v>502038</v>
      </c>
      <c r="F1883" s="1919"/>
      <c r="G1883" s="1918"/>
      <c r="H1883" s="2311" t="e">
        <f t="shared" si="140"/>
        <v>#DIV/0!</v>
      </c>
      <c r="J1883" s="1702"/>
    </row>
    <row r="1884" spans="1:10" s="1906" customFormat="1" ht="16.5" hidden="1" customHeight="1">
      <c r="A1884" s="1923"/>
      <c r="B1884" s="1922"/>
      <c r="C1884" s="2406" t="s">
        <v>963</v>
      </c>
      <c r="D1884" s="2414" t="s">
        <v>962</v>
      </c>
      <c r="E1884" s="1919">
        <v>62382</v>
      </c>
      <c r="F1884" s="1919"/>
      <c r="G1884" s="1918"/>
      <c r="H1884" s="2311" t="e">
        <f t="shared" si="140"/>
        <v>#DIV/0!</v>
      </c>
      <c r="J1884" s="1702"/>
    </row>
    <row r="1885" spans="1:10" s="1906" customFormat="1" ht="17.100000000000001" hidden="1" customHeight="1">
      <c r="A1885" s="1923"/>
      <c r="B1885" s="1922"/>
      <c r="C1885" s="1976" t="s">
        <v>974</v>
      </c>
      <c r="D1885" s="1920" t="s">
        <v>973</v>
      </c>
      <c r="E1885" s="1919">
        <v>32400</v>
      </c>
      <c r="F1885" s="1919"/>
      <c r="G1885" s="1918"/>
      <c r="H1885" s="2311" t="e">
        <f t="shared" si="140"/>
        <v>#DIV/0!</v>
      </c>
      <c r="J1885" s="1702"/>
    </row>
    <row r="1886" spans="1:10" s="1906" customFormat="1" ht="17.100000000000001" hidden="1" customHeight="1">
      <c r="A1886" s="1923"/>
      <c r="B1886" s="1922"/>
      <c r="C1886" s="2341" t="s">
        <v>1012</v>
      </c>
      <c r="D1886" s="2490" t="s">
        <v>1011</v>
      </c>
      <c r="E1886" s="1919">
        <v>24726</v>
      </c>
      <c r="F1886" s="1919"/>
      <c r="G1886" s="1918"/>
      <c r="H1886" s="2311" t="e">
        <f t="shared" si="140"/>
        <v>#DIV/0!</v>
      </c>
      <c r="J1886" s="1702"/>
    </row>
    <row r="1887" spans="1:10" ht="14.25" hidden="1" customHeight="1">
      <c r="A1887" s="1836"/>
      <c r="B1887" s="1822"/>
      <c r="C1887" s="2163"/>
      <c r="D1887" s="2163"/>
      <c r="E1887" s="2162"/>
      <c r="F1887" s="1897"/>
      <c r="G1887" s="1896"/>
      <c r="H1887" s="2354"/>
    </row>
    <row r="1888" spans="1:10" ht="17.100000000000001" hidden="1" customHeight="1">
      <c r="A1888" s="1836"/>
      <c r="B1888" s="1822"/>
      <c r="C1888" s="4277" t="s">
        <v>961</v>
      </c>
      <c r="D1888" s="4277"/>
      <c r="E1888" s="1859">
        <f>SUM(E1889:E1909)</f>
        <v>879721</v>
      </c>
      <c r="F1888" s="1859">
        <f>SUM(F1889:F1909)</f>
        <v>0</v>
      </c>
      <c r="G1888" s="1858">
        <f>SUM(G1889:G1909)</f>
        <v>0</v>
      </c>
      <c r="H1888" s="2489" t="e">
        <f t="shared" ref="H1888:H1909" si="141">G1888/F1888</f>
        <v>#DIV/0!</v>
      </c>
    </row>
    <row r="1889" spans="1:10" s="1906" customFormat="1" ht="17.100000000000001" hidden="1" customHeight="1">
      <c r="A1889" s="1923"/>
      <c r="B1889" s="1922"/>
      <c r="C1889" s="2422" t="s">
        <v>1048</v>
      </c>
      <c r="D1889" s="2421" t="s">
        <v>1047</v>
      </c>
      <c r="E1889" s="1850">
        <v>7646</v>
      </c>
      <c r="F1889" s="1850"/>
      <c r="G1889" s="1849"/>
      <c r="H1889" s="2419" t="e">
        <f t="shared" si="141"/>
        <v>#DIV/0!</v>
      </c>
      <c r="J1889" s="1702"/>
    </row>
    <row r="1890" spans="1:10" ht="17.100000000000001" hidden="1" customHeight="1">
      <c r="A1890" s="1836"/>
      <c r="B1890" s="1822"/>
      <c r="C1890" s="2422" t="s">
        <v>1010</v>
      </c>
      <c r="D1890" s="2421" t="s">
        <v>1009</v>
      </c>
      <c r="E1890" s="1850">
        <v>23000</v>
      </c>
      <c r="F1890" s="1850"/>
      <c r="G1890" s="1849"/>
      <c r="H1890" s="2419" t="e">
        <f t="shared" si="141"/>
        <v>#DIV/0!</v>
      </c>
    </row>
    <row r="1891" spans="1:10" s="1906" customFormat="1" ht="17.100000000000001" hidden="1" customHeight="1">
      <c r="A1891" s="1923"/>
      <c r="B1891" s="1922"/>
      <c r="C1891" s="2422" t="s">
        <v>613</v>
      </c>
      <c r="D1891" s="2421" t="s">
        <v>960</v>
      </c>
      <c r="E1891" s="1850">
        <v>150995</v>
      </c>
      <c r="F1891" s="1850"/>
      <c r="G1891" s="1849"/>
      <c r="H1891" s="2419" t="e">
        <f t="shared" si="141"/>
        <v>#DIV/0!</v>
      </c>
      <c r="J1891" s="1702"/>
    </row>
    <row r="1892" spans="1:10" s="1906" customFormat="1" ht="17.100000000000001" hidden="1" customHeight="1">
      <c r="A1892" s="1923"/>
      <c r="B1892" s="1922"/>
      <c r="C1892" s="2422" t="s">
        <v>1008</v>
      </c>
      <c r="D1892" s="2421" t="s">
        <v>1007</v>
      </c>
      <c r="E1892" s="1850">
        <v>4619</v>
      </c>
      <c r="F1892" s="1850"/>
      <c r="G1892" s="1849"/>
      <c r="H1892" s="2419" t="e">
        <f t="shared" si="141"/>
        <v>#DIV/0!</v>
      </c>
      <c r="J1892" s="1702"/>
    </row>
    <row r="1893" spans="1:10" s="1906" customFormat="1" ht="17.100000000000001" hidden="1" customHeight="1">
      <c r="A1893" s="1923"/>
      <c r="B1893" s="1922"/>
      <c r="C1893" s="2422" t="s">
        <v>1004</v>
      </c>
      <c r="D1893" s="2421" t="s">
        <v>1003</v>
      </c>
      <c r="E1893" s="1850">
        <v>102486</v>
      </c>
      <c r="F1893" s="1850"/>
      <c r="G1893" s="1849"/>
      <c r="H1893" s="2419" t="e">
        <f t="shared" si="141"/>
        <v>#DIV/0!</v>
      </c>
      <c r="J1893" s="1702"/>
    </row>
    <row r="1894" spans="1:10" s="1906" customFormat="1" ht="17.100000000000001" hidden="1" customHeight="1">
      <c r="A1894" s="1923"/>
      <c r="B1894" s="1922"/>
      <c r="C1894" s="2422" t="s">
        <v>1002</v>
      </c>
      <c r="D1894" s="2421" t="s">
        <v>1001</v>
      </c>
      <c r="E1894" s="1850">
        <v>111996</v>
      </c>
      <c r="F1894" s="1850"/>
      <c r="G1894" s="1849"/>
      <c r="H1894" s="2419" t="e">
        <f t="shared" si="141"/>
        <v>#DIV/0!</v>
      </c>
      <c r="J1894" s="1702"/>
    </row>
    <row r="1895" spans="1:10" s="1906" customFormat="1" ht="17.100000000000001" hidden="1" customHeight="1">
      <c r="A1895" s="1923"/>
      <c r="B1895" s="1922"/>
      <c r="C1895" s="2422" t="s">
        <v>1000</v>
      </c>
      <c r="D1895" s="2421" t="s">
        <v>999</v>
      </c>
      <c r="E1895" s="1850">
        <v>5880</v>
      </c>
      <c r="F1895" s="1850"/>
      <c r="G1895" s="1849"/>
      <c r="H1895" s="2419" t="e">
        <f t="shared" si="141"/>
        <v>#DIV/0!</v>
      </c>
      <c r="J1895" s="1702"/>
    </row>
    <row r="1896" spans="1:10" s="1906" customFormat="1" ht="17.100000000000001" hidden="1" customHeight="1">
      <c r="A1896" s="1922"/>
      <c r="B1896" s="1922"/>
      <c r="C1896" s="2486" t="s">
        <v>959</v>
      </c>
      <c r="D1896" s="2485" t="s">
        <v>958</v>
      </c>
      <c r="E1896" s="1850">
        <v>258388</v>
      </c>
      <c r="F1896" s="1850"/>
      <c r="G1896" s="1849"/>
      <c r="H1896" s="2419" t="e">
        <f t="shared" si="141"/>
        <v>#DIV/0!</v>
      </c>
      <c r="J1896" s="1702"/>
    </row>
    <row r="1897" spans="1:10" s="1906" customFormat="1" ht="16.5" hidden="1" customHeight="1">
      <c r="A1897" s="1923"/>
      <c r="B1897" s="1922"/>
      <c r="C1897" s="2488" t="s">
        <v>998</v>
      </c>
      <c r="D1897" s="2478" t="s">
        <v>997</v>
      </c>
      <c r="E1897" s="1870">
        <v>14569</v>
      </c>
      <c r="F1897" s="1870"/>
      <c r="G1897" s="1802"/>
      <c r="H1897" s="1837" t="e">
        <f t="shared" si="141"/>
        <v>#DIV/0!</v>
      </c>
      <c r="J1897" s="1702"/>
    </row>
    <row r="1898" spans="1:10" ht="16.5" hidden="1" customHeight="1">
      <c r="A1898" s="1836"/>
      <c r="B1898" s="1822"/>
      <c r="C1898" s="1878" t="s">
        <v>1123</v>
      </c>
      <c r="D1898" s="1771" t="s">
        <v>1119</v>
      </c>
      <c r="E1898" s="1850">
        <v>0</v>
      </c>
      <c r="F1898" s="1850"/>
      <c r="G1898" s="1849"/>
      <c r="H1898" s="2419" t="e">
        <f t="shared" si="141"/>
        <v>#DIV/0!</v>
      </c>
    </row>
    <row r="1899" spans="1:10" ht="16.5" hidden="1" customHeight="1">
      <c r="A1899" s="1822"/>
      <c r="B1899" s="1822"/>
      <c r="C1899" s="2486" t="s">
        <v>996</v>
      </c>
      <c r="D1899" s="2485" t="s">
        <v>995</v>
      </c>
      <c r="E1899" s="1850">
        <v>32538</v>
      </c>
      <c r="F1899" s="1850"/>
      <c r="G1899" s="1849"/>
      <c r="H1899" s="2419" t="e">
        <f t="shared" si="141"/>
        <v>#DIV/0!</v>
      </c>
    </row>
    <row r="1900" spans="1:10" ht="25.5" hidden="1" customHeight="1">
      <c r="A1900" s="1836"/>
      <c r="B1900" s="1822"/>
      <c r="C1900" s="1878" t="s">
        <v>994</v>
      </c>
      <c r="D1900" s="1771" t="s">
        <v>993</v>
      </c>
      <c r="E1900" s="1870">
        <v>0</v>
      </c>
      <c r="F1900" s="1850"/>
      <c r="G1900" s="1849"/>
      <c r="H1900" s="2419" t="e">
        <f t="shared" si="141"/>
        <v>#DIV/0!</v>
      </c>
    </row>
    <row r="1901" spans="1:10" s="1906" customFormat="1" ht="17.100000000000001" hidden="1" customHeight="1">
      <c r="A1901" s="1923"/>
      <c r="B1901" s="1922"/>
      <c r="C1901" s="2487" t="s">
        <v>992</v>
      </c>
      <c r="D1901" s="2421" t="s">
        <v>991</v>
      </c>
      <c r="E1901" s="1850">
        <v>11015</v>
      </c>
      <c r="F1901" s="1850"/>
      <c r="G1901" s="1849"/>
      <c r="H1901" s="2419" t="e">
        <f t="shared" si="141"/>
        <v>#DIV/0!</v>
      </c>
      <c r="J1901" s="1702"/>
    </row>
    <row r="1902" spans="1:10" ht="17.100000000000001" hidden="1" customHeight="1">
      <c r="A1902" s="1822"/>
      <c r="B1902" s="1822"/>
      <c r="C1902" s="2486" t="s">
        <v>990</v>
      </c>
      <c r="D1902" s="2485" t="s">
        <v>989</v>
      </c>
      <c r="E1902" s="1850">
        <v>2000</v>
      </c>
      <c r="F1902" s="1850"/>
      <c r="G1902" s="1849"/>
      <c r="H1902" s="2419" t="e">
        <f t="shared" si="141"/>
        <v>#DIV/0!</v>
      </c>
    </row>
    <row r="1903" spans="1:10" s="1906" customFormat="1" ht="17.100000000000001" hidden="1" customHeight="1">
      <c r="A1903" s="1923"/>
      <c r="B1903" s="1922"/>
      <c r="C1903" s="1976" t="s">
        <v>988</v>
      </c>
      <c r="D1903" s="1920" t="s">
        <v>987</v>
      </c>
      <c r="E1903" s="1930">
        <v>8181</v>
      </c>
      <c r="F1903" s="1930"/>
      <c r="G1903" s="1929"/>
      <c r="H1903" s="1928" t="e">
        <f t="shared" si="141"/>
        <v>#DIV/0!</v>
      </c>
      <c r="J1903" s="1702"/>
    </row>
    <row r="1904" spans="1:10" s="1906" customFormat="1" ht="17.100000000000001" hidden="1" customHeight="1">
      <c r="A1904" s="1923"/>
      <c r="B1904" s="1922"/>
      <c r="C1904" s="2406" t="s">
        <v>986</v>
      </c>
      <c r="D1904" s="2414" t="s">
        <v>985</v>
      </c>
      <c r="E1904" s="1919">
        <v>93437</v>
      </c>
      <c r="F1904" s="1919"/>
      <c r="G1904" s="1918"/>
      <c r="H1904" s="2311" t="e">
        <f t="shared" si="141"/>
        <v>#DIV/0!</v>
      </c>
      <c r="J1904" s="1702"/>
    </row>
    <row r="1905" spans="1:10" s="1906" customFormat="1" ht="17.100000000000001" hidden="1" customHeight="1">
      <c r="A1905" s="1923"/>
      <c r="B1905" s="1922"/>
      <c r="C1905" s="2406" t="s">
        <v>984</v>
      </c>
      <c r="D1905" s="2414" t="s">
        <v>983</v>
      </c>
      <c r="E1905" s="1919">
        <v>18052</v>
      </c>
      <c r="F1905" s="1919"/>
      <c r="G1905" s="1918"/>
      <c r="H1905" s="2311" t="e">
        <f t="shared" si="141"/>
        <v>#DIV/0!</v>
      </c>
      <c r="J1905" s="1702"/>
    </row>
    <row r="1906" spans="1:10" s="1906" customFormat="1" ht="17.100000000000001" hidden="1" customHeight="1">
      <c r="A1906" s="1923"/>
      <c r="B1906" s="1922"/>
      <c r="C1906" s="2406" t="s">
        <v>1089</v>
      </c>
      <c r="D1906" s="2414" t="s">
        <v>1092</v>
      </c>
      <c r="E1906" s="1919">
        <v>16419</v>
      </c>
      <c r="F1906" s="1919"/>
      <c r="G1906" s="1918"/>
      <c r="H1906" s="2311" t="e">
        <f t="shared" si="141"/>
        <v>#DIV/0!</v>
      </c>
      <c r="J1906" s="1702"/>
    </row>
    <row r="1907" spans="1:10" s="1906" customFormat="1" ht="17.100000000000001" hidden="1" customHeight="1">
      <c r="A1907" s="1923"/>
      <c r="B1907" s="1922"/>
      <c r="C1907" s="2417" t="s">
        <v>1158</v>
      </c>
      <c r="D1907" s="2414" t="s">
        <v>1157</v>
      </c>
      <c r="E1907" s="1919">
        <v>2500</v>
      </c>
      <c r="F1907" s="1919"/>
      <c r="G1907" s="1918"/>
      <c r="H1907" s="2311" t="e">
        <f t="shared" si="141"/>
        <v>#DIV/0!</v>
      </c>
      <c r="J1907" s="1702"/>
    </row>
    <row r="1908" spans="1:10" s="1906" customFormat="1" ht="17.100000000000001" hidden="1" customHeight="1">
      <c r="A1908" s="1923"/>
      <c r="B1908" s="1922"/>
      <c r="C1908" s="1974" t="s">
        <v>1122</v>
      </c>
      <c r="D1908" s="2414" t="s">
        <v>1118</v>
      </c>
      <c r="E1908" s="1919">
        <v>600</v>
      </c>
      <c r="F1908" s="1919"/>
      <c r="G1908" s="1918"/>
      <c r="H1908" s="2311" t="e">
        <f t="shared" si="141"/>
        <v>#DIV/0!</v>
      </c>
      <c r="J1908" s="1702"/>
    </row>
    <row r="1909" spans="1:10" s="1906" customFormat="1" ht="18" hidden="1" customHeight="1">
      <c r="A1909" s="1923"/>
      <c r="B1909" s="1922"/>
      <c r="C1909" s="2408" t="s">
        <v>982</v>
      </c>
      <c r="D1909" s="2413" t="s">
        <v>981</v>
      </c>
      <c r="E1909" s="1919">
        <v>15400</v>
      </c>
      <c r="F1909" s="1919"/>
      <c r="G1909" s="1918"/>
      <c r="H1909" s="2311" t="e">
        <f t="shared" si="141"/>
        <v>#DIV/0!</v>
      </c>
      <c r="J1909" s="1702"/>
    </row>
    <row r="1910" spans="1:10" ht="17.100000000000001" hidden="1" customHeight="1">
      <c r="A1910" s="1836"/>
      <c r="B1910" s="1822"/>
      <c r="C1910" s="2483"/>
      <c r="D1910" s="2484"/>
      <c r="E1910" s="2483"/>
      <c r="F1910" s="1897"/>
      <c r="G1910" s="1896"/>
      <c r="H1910" s="2354"/>
    </row>
    <row r="1911" spans="1:10" s="1906" customFormat="1" ht="17.100000000000001" hidden="1" customHeight="1">
      <c r="A1911" s="1923"/>
      <c r="B1911" s="1922"/>
      <c r="C1911" s="4144" t="s">
        <v>943</v>
      </c>
      <c r="D1911" s="4144"/>
      <c r="E1911" s="1930">
        <f>SUM(E1912)</f>
        <v>800000</v>
      </c>
      <c r="F1911" s="1930">
        <f>SUM(F1912)</f>
        <v>0</v>
      </c>
      <c r="G1911" s="1929">
        <f>SUM(G1912)</f>
        <v>0</v>
      </c>
      <c r="H1911" s="2311" t="e">
        <f>G1911/F1911</f>
        <v>#DIV/0!</v>
      </c>
      <c r="J1911" s="1702"/>
    </row>
    <row r="1912" spans="1:10" s="1906" customFormat="1" ht="53.25" hidden="1" customHeight="1">
      <c r="A1912" s="1923"/>
      <c r="B1912" s="1922"/>
      <c r="C1912" s="2406" t="s">
        <v>112</v>
      </c>
      <c r="D1912" s="2414" t="s">
        <v>956</v>
      </c>
      <c r="E1912" s="1919">
        <v>800000</v>
      </c>
      <c r="F1912" s="1919"/>
      <c r="G1912" s="1918"/>
      <c r="H1912" s="2311" t="e">
        <f>G1912/F1912</f>
        <v>#DIV/0!</v>
      </c>
      <c r="J1912" s="1702"/>
    </row>
    <row r="1913" spans="1:10" ht="15" hidden="1" customHeight="1">
      <c r="A1913" s="1836"/>
      <c r="B1913" s="1822"/>
      <c r="C1913" s="2163"/>
      <c r="D1913" s="2163"/>
      <c r="E1913" s="2162"/>
      <c r="F1913" s="1897"/>
      <c r="G1913" s="1896"/>
      <c r="H1913" s="2354"/>
    </row>
    <row r="1914" spans="1:10" s="1906" customFormat="1" ht="17.100000000000001" hidden="1" customHeight="1">
      <c r="A1914" s="1923"/>
      <c r="B1914" s="2158"/>
      <c r="C1914" s="4268" t="s">
        <v>952</v>
      </c>
      <c r="D1914" s="4268"/>
      <c r="E1914" s="2449">
        <f>SUM(E1915)</f>
        <v>14448</v>
      </c>
      <c r="F1914" s="2449">
        <f>SUM(F1915)</f>
        <v>0</v>
      </c>
      <c r="G1914" s="2441">
        <f>SUM(G1915)</f>
        <v>0</v>
      </c>
      <c r="H1914" s="2311" t="e">
        <f>G1914/F1914</f>
        <v>#DIV/0!</v>
      </c>
      <c r="J1914" s="1702"/>
    </row>
    <row r="1915" spans="1:10" s="1906" customFormat="1" ht="17.25" hidden="1" customHeight="1">
      <c r="A1915" s="1923"/>
      <c r="B1915" s="2158"/>
      <c r="C1915" s="2406" t="s">
        <v>980</v>
      </c>
      <c r="D1915" s="2414" t="s">
        <v>979</v>
      </c>
      <c r="E1915" s="2482">
        <v>14448</v>
      </c>
      <c r="F1915" s="2449"/>
      <c r="G1915" s="1918"/>
      <c r="H1915" s="2311" t="e">
        <f>G1915/F1915</f>
        <v>#DIV/0!</v>
      </c>
      <c r="J1915" s="1702"/>
    </row>
    <row r="1916" spans="1:10" s="1906" customFormat="1" ht="15.75" customHeight="1">
      <c r="A1916" s="1923"/>
      <c r="B1916" s="2014"/>
      <c r="C1916" s="4260" t="s">
        <v>976</v>
      </c>
      <c r="D1916" s="4261"/>
      <c r="E1916" s="1919">
        <f>SUM(E1919:E1979)</f>
        <v>2968028</v>
      </c>
      <c r="F1916" s="1919">
        <f>SUM(F1917:F1968)</f>
        <v>0</v>
      </c>
      <c r="G1916" s="1918">
        <f>SUM(G1917:G1968)</f>
        <v>21431283</v>
      </c>
      <c r="H1916" s="2311"/>
      <c r="J1916" s="1702" t="s">
        <v>1025</v>
      </c>
    </row>
    <row r="1917" spans="1:10" s="1906" customFormat="1" ht="16.5" customHeight="1">
      <c r="A1917" s="1923"/>
      <c r="B1917" s="2014"/>
      <c r="C1917" s="2406" t="s">
        <v>462</v>
      </c>
      <c r="D1917" s="2414" t="s">
        <v>1015</v>
      </c>
      <c r="E1917" s="2403">
        <v>504613</v>
      </c>
      <c r="F1917" s="1930">
        <v>0</v>
      </c>
      <c r="G1917" s="1918">
        <v>1163245</v>
      </c>
      <c r="H1917" s="2311"/>
      <c r="J1917" s="1702"/>
    </row>
    <row r="1918" spans="1:10" s="1906" customFormat="1" ht="16.5" hidden="1" customHeight="1">
      <c r="A1918" s="1923"/>
      <c r="B1918" s="2014"/>
      <c r="C1918" s="2406" t="s">
        <v>479</v>
      </c>
      <c r="D1918" s="2414" t="s">
        <v>1015</v>
      </c>
      <c r="E1918" s="2403">
        <v>0</v>
      </c>
      <c r="F1918" s="1919">
        <v>0</v>
      </c>
      <c r="G1918" s="1918">
        <v>0</v>
      </c>
      <c r="H1918" s="2311" t="e">
        <f>G1918/F1918</f>
        <v>#DIV/0!</v>
      </c>
      <c r="J1918" s="1702"/>
    </row>
    <row r="1919" spans="1:10" s="1906" customFormat="1" ht="16.5" customHeight="1">
      <c r="A1919" s="1923"/>
      <c r="B1919" s="2014"/>
      <c r="C1919" s="2417" t="s">
        <v>461</v>
      </c>
      <c r="D1919" s="2416" t="s">
        <v>1015</v>
      </c>
      <c r="E1919" s="2403">
        <v>136153</v>
      </c>
      <c r="F1919" s="1919">
        <v>0</v>
      </c>
      <c r="G1919" s="1918">
        <v>205279</v>
      </c>
      <c r="H1919" s="2311"/>
      <c r="J1919" s="1702"/>
    </row>
    <row r="1920" spans="1:10" s="1906" customFormat="1" ht="16.5" customHeight="1">
      <c r="A1920" s="1923"/>
      <c r="B1920" s="2014"/>
      <c r="C1920" s="1976" t="s">
        <v>494</v>
      </c>
      <c r="D1920" s="1920" t="s">
        <v>1013</v>
      </c>
      <c r="E1920" s="2403">
        <v>66326</v>
      </c>
      <c r="F1920" s="1919">
        <v>0</v>
      </c>
      <c r="G1920" s="1918">
        <v>32375</v>
      </c>
      <c r="H1920" s="2311"/>
      <c r="J1920" s="1702"/>
    </row>
    <row r="1921" spans="1:10" s="1702" customFormat="1" ht="16.5" hidden="1" customHeight="1">
      <c r="A1921" s="1756"/>
      <c r="B1921" s="2480"/>
      <c r="C1921" s="2481" t="s">
        <v>536</v>
      </c>
      <c r="D1921" s="2421" t="s">
        <v>1013</v>
      </c>
      <c r="E1921" s="2420">
        <v>0</v>
      </c>
      <c r="F1921" s="1850">
        <v>0</v>
      </c>
      <c r="G1921" s="1849">
        <v>0</v>
      </c>
      <c r="H1921" s="2419" t="e">
        <f>G1921/F1921</f>
        <v>#DIV/0!</v>
      </c>
    </row>
    <row r="1922" spans="1:10" s="1906" customFormat="1" ht="16.5" customHeight="1">
      <c r="A1922" s="1923"/>
      <c r="B1922" s="2014"/>
      <c r="C1922" s="2406" t="s">
        <v>493</v>
      </c>
      <c r="D1922" s="2414" t="s">
        <v>1013</v>
      </c>
      <c r="E1922" s="2403">
        <v>3541</v>
      </c>
      <c r="F1922" s="1919">
        <v>0</v>
      </c>
      <c r="G1922" s="1918">
        <v>5713</v>
      </c>
      <c r="H1922" s="2311"/>
      <c r="J1922" s="1702"/>
    </row>
    <row r="1923" spans="1:10" s="1906" customFormat="1" ht="16.5" customHeight="1">
      <c r="A1923" s="1923"/>
      <c r="B1923" s="2014"/>
      <c r="C1923" s="2406" t="s">
        <v>460</v>
      </c>
      <c r="D1923" s="2414" t="s">
        <v>964</v>
      </c>
      <c r="E1923" s="2403">
        <v>97860</v>
      </c>
      <c r="F1923" s="1919">
        <v>0</v>
      </c>
      <c r="G1923" s="1918">
        <v>205526</v>
      </c>
      <c r="H1923" s="2311"/>
      <c r="J1923" s="1702"/>
    </row>
    <row r="1924" spans="1:10" s="1906" customFormat="1" ht="16.5" hidden="1" customHeight="1">
      <c r="A1924" s="1923"/>
      <c r="B1924" s="2014"/>
      <c r="C1924" s="2406" t="s">
        <v>478</v>
      </c>
      <c r="D1924" s="2414" t="s">
        <v>964</v>
      </c>
      <c r="E1924" s="2403">
        <v>0</v>
      </c>
      <c r="F1924" s="1919"/>
      <c r="G1924" s="1918">
        <v>0</v>
      </c>
      <c r="H1924" s="2311" t="e">
        <f>G1924/F1924</f>
        <v>#DIV/0!</v>
      </c>
      <c r="J1924" s="1702"/>
    </row>
    <row r="1925" spans="1:10" s="1906" customFormat="1" ht="16.5" customHeight="1">
      <c r="A1925" s="1923"/>
      <c r="B1925" s="2014"/>
      <c r="C1925" s="2406" t="s">
        <v>459</v>
      </c>
      <c r="D1925" s="2414" t="s">
        <v>964</v>
      </c>
      <c r="E1925" s="2403">
        <v>22957</v>
      </c>
      <c r="F1925" s="1919">
        <v>0</v>
      </c>
      <c r="G1925" s="1918">
        <v>36270</v>
      </c>
      <c r="H1925" s="2311"/>
      <c r="J1925" s="1702"/>
    </row>
    <row r="1926" spans="1:10" s="1906" customFormat="1" ht="16.5" customHeight="1">
      <c r="A1926" s="1923"/>
      <c r="B1926" s="2014"/>
      <c r="C1926" s="2406" t="s">
        <v>458</v>
      </c>
      <c r="D1926" s="2414" t="s">
        <v>962</v>
      </c>
      <c r="E1926" s="2403">
        <v>14000</v>
      </c>
      <c r="F1926" s="1919">
        <v>0</v>
      </c>
      <c r="G1926" s="1918">
        <v>29294</v>
      </c>
      <c r="H1926" s="2311"/>
      <c r="J1926" s="1702"/>
    </row>
    <row r="1927" spans="1:10" ht="16.5" hidden="1" customHeight="1">
      <c r="A1927" s="1836"/>
      <c r="B1927" s="2401"/>
      <c r="C1927" s="2422" t="s">
        <v>477</v>
      </c>
      <c r="D1927" s="2421" t="s">
        <v>962</v>
      </c>
      <c r="E1927" s="2420">
        <v>0</v>
      </c>
      <c r="F1927" s="1850"/>
      <c r="G1927" s="1849">
        <v>0</v>
      </c>
      <c r="H1927" s="2419" t="e">
        <f>G1927/F1927</f>
        <v>#DIV/0!</v>
      </c>
    </row>
    <row r="1928" spans="1:10" s="1906" customFormat="1" ht="16.5" customHeight="1">
      <c r="A1928" s="1922"/>
      <c r="B1928" s="2014"/>
      <c r="C1928" s="2418" t="s">
        <v>457</v>
      </c>
      <c r="D1928" s="2416" t="s">
        <v>962</v>
      </c>
      <c r="E1928" s="1919">
        <v>3423</v>
      </c>
      <c r="F1928" s="1919">
        <v>0</v>
      </c>
      <c r="G1928" s="1918">
        <v>5169</v>
      </c>
      <c r="H1928" s="2311"/>
      <c r="J1928" s="1702"/>
    </row>
    <row r="1929" spans="1:10" s="1906" customFormat="1" ht="16.5" hidden="1" customHeight="1">
      <c r="A1929" s="1923"/>
      <c r="B1929" s="2014"/>
      <c r="C1929" s="1976" t="s">
        <v>456</v>
      </c>
      <c r="D1929" s="1920" t="s">
        <v>973</v>
      </c>
      <c r="E1929" s="1975">
        <v>253994</v>
      </c>
      <c r="F1929" s="1930"/>
      <c r="G1929" s="1929">
        <v>0</v>
      </c>
      <c r="H1929" s="1928" t="e">
        <f>G1929/F1929</f>
        <v>#DIV/0!</v>
      </c>
      <c r="J1929" s="1702"/>
    </row>
    <row r="1930" spans="1:10" s="1906" customFormat="1" ht="16.5" hidden="1" customHeight="1">
      <c r="A1930" s="1922"/>
      <c r="B1930" s="2014"/>
      <c r="C1930" s="2417" t="s">
        <v>455</v>
      </c>
      <c r="D1930" s="2416" t="s">
        <v>973</v>
      </c>
      <c r="E1930" s="1919">
        <v>42349</v>
      </c>
      <c r="F1930" s="1919"/>
      <c r="G1930" s="1918">
        <v>0</v>
      </c>
      <c r="H1930" s="2311" t="e">
        <f>G1930/F1930</f>
        <v>#DIV/0!</v>
      </c>
      <c r="J1930" s="1702"/>
    </row>
    <row r="1931" spans="1:10" s="1906" customFormat="1" ht="16.5" customHeight="1">
      <c r="A1931" s="1923"/>
      <c r="B1931" s="2014"/>
      <c r="C1931" s="1976" t="s">
        <v>450</v>
      </c>
      <c r="D1931" s="1920" t="s">
        <v>960</v>
      </c>
      <c r="E1931" s="1975">
        <v>20971</v>
      </c>
      <c r="F1931" s="1919">
        <v>0</v>
      </c>
      <c r="G1931" s="1918">
        <v>229500</v>
      </c>
      <c r="H1931" s="2311"/>
      <c r="J1931" s="1702"/>
    </row>
    <row r="1932" spans="1:10" s="1906" customFormat="1" ht="16.5" hidden="1" customHeight="1">
      <c r="A1932" s="1923"/>
      <c r="B1932" s="2014"/>
      <c r="C1932" s="2406" t="s">
        <v>533</v>
      </c>
      <c r="D1932" s="2414" t="s">
        <v>960</v>
      </c>
      <c r="E1932" s="2403">
        <v>0</v>
      </c>
      <c r="F1932" s="1919"/>
      <c r="G1932" s="1918">
        <v>0</v>
      </c>
      <c r="H1932" s="2311" t="e">
        <f>G1932/F1932</f>
        <v>#DIV/0!</v>
      </c>
      <c r="J1932" s="1702"/>
    </row>
    <row r="1933" spans="1:10" s="1906" customFormat="1" ht="16.5" customHeight="1">
      <c r="A1933" s="1923"/>
      <c r="B1933" s="2014"/>
      <c r="C1933" s="2406" t="s">
        <v>449</v>
      </c>
      <c r="D1933" s="2414" t="s">
        <v>960</v>
      </c>
      <c r="E1933" s="2403">
        <v>2830</v>
      </c>
      <c r="F1933" s="1919">
        <v>0</v>
      </c>
      <c r="G1933" s="1918">
        <v>40500</v>
      </c>
      <c r="H1933" s="2311"/>
      <c r="J1933" s="1702"/>
    </row>
    <row r="1934" spans="1:10" s="1702" customFormat="1" ht="16.5" customHeight="1">
      <c r="A1934" s="1756"/>
      <c r="B1934" s="2480"/>
      <c r="C1934" s="2422" t="s">
        <v>471</v>
      </c>
      <c r="D1934" s="2421" t="s">
        <v>1007</v>
      </c>
      <c r="E1934" s="2420">
        <v>0</v>
      </c>
      <c r="F1934" s="1850">
        <v>0</v>
      </c>
      <c r="G1934" s="1849">
        <v>8500</v>
      </c>
      <c r="H1934" s="2419"/>
    </row>
    <row r="1935" spans="1:10" s="1702" customFormat="1" ht="16.5" customHeight="1">
      <c r="A1935" s="1756"/>
      <c r="B1935" s="2480"/>
      <c r="C1935" s="2422" t="s">
        <v>470</v>
      </c>
      <c r="D1935" s="2421" t="s">
        <v>1007</v>
      </c>
      <c r="E1935" s="2420">
        <v>0</v>
      </c>
      <c r="F1935" s="1850">
        <v>0</v>
      </c>
      <c r="G1935" s="1849">
        <v>1500</v>
      </c>
      <c r="H1935" s="2419"/>
    </row>
    <row r="1936" spans="1:10" ht="16.5" hidden="1" customHeight="1">
      <c r="A1936" s="1836"/>
      <c r="B1936" s="2401"/>
      <c r="C1936" s="2407" t="s">
        <v>448</v>
      </c>
      <c r="D1936" s="2415" t="s">
        <v>1003</v>
      </c>
      <c r="E1936" s="2398">
        <v>0</v>
      </c>
      <c r="F1936" s="1897"/>
      <c r="G1936" s="1896">
        <v>0</v>
      </c>
      <c r="H1936" s="2354" t="e">
        <f t="shared" ref="H1936:H1941" si="142">G1936/F1936</f>
        <v>#DIV/0!</v>
      </c>
    </row>
    <row r="1937" spans="1:10" ht="16.5" hidden="1" customHeight="1">
      <c r="A1937" s="1836"/>
      <c r="B1937" s="2401"/>
      <c r="C1937" s="2407" t="s">
        <v>447</v>
      </c>
      <c r="D1937" s="2415" t="s">
        <v>1003</v>
      </c>
      <c r="E1937" s="2398">
        <v>0</v>
      </c>
      <c r="F1937" s="1897"/>
      <c r="G1937" s="1896">
        <v>0</v>
      </c>
      <c r="H1937" s="2354" t="e">
        <f t="shared" si="142"/>
        <v>#DIV/0!</v>
      </c>
    </row>
    <row r="1938" spans="1:10" ht="16.5" hidden="1" customHeight="1">
      <c r="A1938" s="1836"/>
      <c r="B1938" s="2401"/>
      <c r="C1938" s="2407" t="s">
        <v>514</v>
      </c>
      <c r="D1938" s="2415" t="s">
        <v>1001</v>
      </c>
      <c r="E1938" s="2398">
        <v>0</v>
      </c>
      <c r="F1938" s="1897"/>
      <c r="G1938" s="1896">
        <v>0</v>
      </c>
      <c r="H1938" s="2354" t="e">
        <f t="shared" si="142"/>
        <v>#DIV/0!</v>
      </c>
    </row>
    <row r="1939" spans="1:10" ht="16.5" hidden="1" customHeight="1">
      <c r="A1939" s="1836"/>
      <c r="B1939" s="2401"/>
      <c r="C1939" s="2407" t="s">
        <v>513</v>
      </c>
      <c r="D1939" s="2415" t="s">
        <v>1001</v>
      </c>
      <c r="E1939" s="2398">
        <v>0</v>
      </c>
      <c r="F1939" s="1897"/>
      <c r="G1939" s="1896">
        <v>0</v>
      </c>
      <c r="H1939" s="2354" t="e">
        <f t="shared" si="142"/>
        <v>#DIV/0!</v>
      </c>
    </row>
    <row r="1940" spans="1:10" ht="16.5" hidden="1" customHeight="1">
      <c r="A1940" s="1836"/>
      <c r="B1940" s="2401"/>
      <c r="C1940" s="2407" t="s">
        <v>512</v>
      </c>
      <c r="D1940" s="2415" t="s">
        <v>999</v>
      </c>
      <c r="E1940" s="2398">
        <v>0</v>
      </c>
      <c r="F1940" s="1897"/>
      <c r="G1940" s="1896">
        <v>0</v>
      </c>
      <c r="H1940" s="2354" t="e">
        <f t="shared" si="142"/>
        <v>#DIV/0!</v>
      </c>
    </row>
    <row r="1941" spans="1:10" ht="16.5" hidden="1" customHeight="1">
      <c r="A1941" s="1836"/>
      <c r="B1941" s="2401"/>
      <c r="C1941" s="2407" t="s">
        <v>511</v>
      </c>
      <c r="D1941" s="2415" t="s">
        <v>999</v>
      </c>
      <c r="E1941" s="2398">
        <v>0</v>
      </c>
      <c r="F1941" s="1897"/>
      <c r="G1941" s="1896">
        <v>0</v>
      </c>
      <c r="H1941" s="2354" t="e">
        <f t="shared" si="142"/>
        <v>#DIV/0!</v>
      </c>
    </row>
    <row r="1942" spans="1:10" s="1906" customFormat="1" ht="17.25" customHeight="1">
      <c r="A1942" s="1923"/>
      <c r="B1942" s="2014"/>
      <c r="C1942" s="2406" t="s">
        <v>446</v>
      </c>
      <c r="D1942" s="2414" t="s">
        <v>958</v>
      </c>
      <c r="E1942" s="2403">
        <v>739483</v>
      </c>
      <c r="F1942" s="1919">
        <v>0</v>
      </c>
      <c r="G1942" s="1918">
        <v>15836100</v>
      </c>
      <c r="H1942" s="2311"/>
      <c r="J1942" s="1702"/>
    </row>
    <row r="1943" spans="1:10" ht="16.5" hidden="1" customHeight="1">
      <c r="A1943" s="1836"/>
      <c r="B1943" s="2401"/>
      <c r="C1943" s="2407" t="s">
        <v>529</v>
      </c>
      <c r="D1943" s="2415" t="s">
        <v>958</v>
      </c>
      <c r="E1943" s="2398">
        <v>0</v>
      </c>
      <c r="F1943" s="1897"/>
      <c r="G1943" s="1896">
        <v>0</v>
      </c>
      <c r="H1943" s="2354" t="e">
        <f>G1943/F1943</f>
        <v>#DIV/0!</v>
      </c>
    </row>
    <row r="1944" spans="1:10" s="1906" customFormat="1" ht="16.5" customHeight="1">
      <c r="A1944" s="1923"/>
      <c r="B1944" s="2014"/>
      <c r="C1944" s="2406" t="s">
        <v>445</v>
      </c>
      <c r="D1944" s="2414" t="s">
        <v>958</v>
      </c>
      <c r="E1944" s="2403">
        <v>99484</v>
      </c>
      <c r="F1944" s="1919">
        <v>0</v>
      </c>
      <c r="G1944" s="1918">
        <v>2794606</v>
      </c>
      <c r="H1944" s="2311"/>
      <c r="J1944" s="1702"/>
    </row>
    <row r="1945" spans="1:10" s="1906" customFormat="1" ht="16.5" hidden="1" customHeight="1">
      <c r="A1945" s="1923"/>
      <c r="B1945" s="2014"/>
      <c r="C1945" s="2408" t="s">
        <v>444</v>
      </c>
      <c r="D1945" s="2413" t="s">
        <v>997</v>
      </c>
      <c r="E1945" s="2403">
        <v>280</v>
      </c>
      <c r="F1945" s="1919"/>
      <c r="G1945" s="1918">
        <v>0</v>
      </c>
      <c r="H1945" s="2311" t="e">
        <f t="shared" ref="H1945:H1950" si="143">G1945/F1945</f>
        <v>#DIV/0!</v>
      </c>
      <c r="J1945" s="1702"/>
    </row>
    <row r="1946" spans="1:10" ht="16.5" hidden="1" customHeight="1">
      <c r="A1946" s="1836"/>
      <c r="B1946" s="2401"/>
      <c r="C1946" s="2410" t="s">
        <v>443</v>
      </c>
      <c r="D1946" s="2412" t="s">
        <v>997</v>
      </c>
      <c r="E1946" s="2398">
        <v>0</v>
      </c>
      <c r="F1946" s="1897"/>
      <c r="G1946" s="1896">
        <v>0</v>
      </c>
      <c r="H1946" s="2354" t="e">
        <f t="shared" si="143"/>
        <v>#DIV/0!</v>
      </c>
    </row>
    <row r="1947" spans="1:10" ht="16.5" hidden="1" customHeight="1">
      <c r="A1947" s="1836"/>
      <c r="B1947" s="2401"/>
      <c r="C1947" s="2410" t="s">
        <v>527</v>
      </c>
      <c r="D1947" s="2412" t="s">
        <v>1119</v>
      </c>
      <c r="E1947" s="2398">
        <v>0</v>
      </c>
      <c r="F1947" s="1897"/>
      <c r="G1947" s="1896">
        <v>0</v>
      </c>
      <c r="H1947" s="2354" t="e">
        <f t="shared" si="143"/>
        <v>#DIV/0!</v>
      </c>
    </row>
    <row r="1948" spans="1:10" ht="16.5" hidden="1" customHeight="1">
      <c r="A1948" s="1836"/>
      <c r="B1948" s="2401"/>
      <c r="C1948" s="2410" t="s">
        <v>526</v>
      </c>
      <c r="D1948" s="2411" t="s">
        <v>1119</v>
      </c>
      <c r="E1948" s="2398">
        <v>0</v>
      </c>
      <c r="F1948" s="1897"/>
      <c r="G1948" s="1896">
        <v>0</v>
      </c>
      <c r="H1948" s="2354" t="e">
        <f t="shared" si="143"/>
        <v>#DIV/0!</v>
      </c>
    </row>
    <row r="1949" spans="1:10" ht="16.5" hidden="1" customHeight="1">
      <c r="A1949" s="1836"/>
      <c r="B1949" s="2401"/>
      <c r="C1949" s="2410" t="s">
        <v>492</v>
      </c>
      <c r="D1949" s="2175" t="s">
        <v>995</v>
      </c>
      <c r="E1949" s="2398">
        <v>0</v>
      </c>
      <c r="F1949" s="1897"/>
      <c r="G1949" s="1896">
        <v>0</v>
      </c>
      <c r="H1949" s="2354" t="e">
        <f t="shared" si="143"/>
        <v>#DIV/0!</v>
      </c>
    </row>
    <row r="1950" spans="1:10" ht="16.5" hidden="1" customHeight="1">
      <c r="A1950" s="1836"/>
      <c r="B1950" s="2401"/>
      <c r="C1950" s="2410" t="s">
        <v>491</v>
      </c>
      <c r="D1950" s="2175" t="s">
        <v>995</v>
      </c>
      <c r="E1950" s="2398">
        <v>0</v>
      </c>
      <c r="F1950" s="1897"/>
      <c r="G1950" s="1896">
        <v>0</v>
      </c>
      <c r="H1950" s="2354" t="e">
        <f t="shared" si="143"/>
        <v>#DIV/0!</v>
      </c>
    </row>
    <row r="1951" spans="1:10" s="1702" customFormat="1" ht="26.25" customHeight="1" thickBot="1">
      <c r="A1951" s="1743"/>
      <c r="B1951" s="2849"/>
      <c r="C1951" s="3710" t="s">
        <v>510</v>
      </c>
      <c r="D1951" s="3709" t="s">
        <v>993</v>
      </c>
      <c r="E1951" s="3727">
        <v>0</v>
      </c>
      <c r="F1951" s="3727">
        <v>0</v>
      </c>
      <c r="G1951" s="1738">
        <v>663000</v>
      </c>
      <c r="H1951" s="2419"/>
    </row>
    <row r="1952" spans="1:10" s="1702" customFormat="1" ht="27.75" customHeight="1">
      <c r="A1952" s="1756"/>
      <c r="B1952" s="2480"/>
      <c r="C1952" s="1865" t="s">
        <v>509</v>
      </c>
      <c r="D1952" s="3243" t="s">
        <v>993</v>
      </c>
      <c r="E1952" s="1877">
        <v>0</v>
      </c>
      <c r="F1952" s="2500">
        <v>0</v>
      </c>
      <c r="G1952" s="1802">
        <v>117000</v>
      </c>
      <c r="H1952" s="2419"/>
    </row>
    <row r="1953" spans="1:10" s="1906" customFormat="1" ht="16.5" customHeight="1">
      <c r="A1953" s="1923"/>
      <c r="B1953" s="2014"/>
      <c r="C1953" s="2408" t="s">
        <v>467</v>
      </c>
      <c r="D1953" s="2384" t="s">
        <v>991</v>
      </c>
      <c r="E1953" s="2403">
        <v>1508</v>
      </c>
      <c r="F1953" s="1919">
        <v>0</v>
      </c>
      <c r="G1953" s="1918">
        <v>8500</v>
      </c>
      <c r="H1953" s="2311"/>
      <c r="J1953" s="1702"/>
    </row>
    <row r="1954" spans="1:10" ht="16.5" hidden="1" customHeight="1">
      <c r="A1954" s="1836"/>
      <c r="B1954" s="2401"/>
      <c r="C1954" s="2407" t="s">
        <v>524</v>
      </c>
      <c r="D1954" s="1820" t="s">
        <v>991</v>
      </c>
      <c r="E1954" s="2398">
        <v>0</v>
      </c>
      <c r="F1954" s="1897"/>
      <c r="G1954" s="1896">
        <v>0</v>
      </c>
      <c r="H1954" s="2354"/>
    </row>
    <row r="1955" spans="1:10" s="1906" customFormat="1" ht="16.5" customHeight="1">
      <c r="A1955" s="1923"/>
      <c r="B1955" s="2014"/>
      <c r="C1955" s="2406" t="s">
        <v>466</v>
      </c>
      <c r="D1955" s="1920" t="s">
        <v>991</v>
      </c>
      <c r="E1955" s="2403">
        <v>0</v>
      </c>
      <c r="F1955" s="1919">
        <v>0</v>
      </c>
      <c r="G1955" s="1918">
        <v>1500</v>
      </c>
      <c r="H1955" s="2311"/>
      <c r="J1955" s="1702"/>
    </row>
    <row r="1956" spans="1:10" s="1906" customFormat="1" ht="16.5" hidden="1" customHeight="1">
      <c r="A1956" s="1923"/>
      <c r="B1956" s="2014"/>
      <c r="C1956" s="2406" t="s">
        <v>575</v>
      </c>
      <c r="D1956" s="1920" t="s">
        <v>989</v>
      </c>
      <c r="E1956" s="2403">
        <v>0</v>
      </c>
      <c r="F1956" s="1919"/>
      <c r="G1956" s="1918"/>
      <c r="H1956" s="2311"/>
      <c r="J1956" s="1702"/>
    </row>
    <row r="1957" spans="1:10" s="1906" customFormat="1" ht="16.5" hidden="1" customHeight="1">
      <c r="A1957" s="1923"/>
      <c r="B1957" s="2014"/>
      <c r="C1957" s="2406" t="s">
        <v>574</v>
      </c>
      <c r="D1957" s="1920" t="s">
        <v>989</v>
      </c>
      <c r="E1957" s="2403">
        <v>0</v>
      </c>
      <c r="F1957" s="1919"/>
      <c r="G1957" s="1918"/>
      <c r="H1957" s="2311"/>
      <c r="J1957" s="1702"/>
    </row>
    <row r="1958" spans="1:10" s="1906" customFormat="1" ht="16.5" customHeight="1">
      <c r="A1958" s="1923"/>
      <c r="B1958" s="2014"/>
      <c r="C1958" s="2405" t="s">
        <v>490</v>
      </c>
      <c r="D1958" s="2063" t="s">
        <v>985</v>
      </c>
      <c r="E1958" s="2403">
        <v>5335</v>
      </c>
      <c r="F1958" s="1919">
        <v>0</v>
      </c>
      <c r="G1958" s="1918">
        <v>22617</v>
      </c>
      <c r="H1958" s="2311"/>
      <c r="J1958" s="1702"/>
    </row>
    <row r="1959" spans="1:10" s="1906" customFormat="1" ht="16.5" customHeight="1">
      <c r="A1959" s="1923"/>
      <c r="B1959" s="2014"/>
      <c r="C1959" s="2404" t="s">
        <v>489</v>
      </c>
      <c r="D1959" s="2063" t="s">
        <v>985</v>
      </c>
      <c r="E1959" s="2403">
        <v>995</v>
      </c>
      <c r="F1959" s="1919">
        <v>0</v>
      </c>
      <c r="G1959" s="1918">
        <v>3991</v>
      </c>
      <c r="H1959" s="2311"/>
      <c r="J1959" s="1702"/>
    </row>
    <row r="1960" spans="1:10" ht="16.5" hidden="1" customHeight="1">
      <c r="A1960" s="1836"/>
      <c r="B1960" s="2401"/>
      <c r="C1960" s="2402" t="s">
        <v>1094</v>
      </c>
      <c r="D1960" s="2171" t="s">
        <v>983</v>
      </c>
      <c r="E1960" s="2398">
        <v>0</v>
      </c>
      <c r="F1960" s="1897"/>
      <c r="G1960" s="1896"/>
      <c r="H1960" s="2354"/>
    </row>
    <row r="1961" spans="1:10" ht="16.5" hidden="1" customHeight="1">
      <c r="A1961" s="1836"/>
      <c r="B1961" s="2401"/>
      <c r="C1961" s="2402" t="s">
        <v>1138</v>
      </c>
      <c r="D1961" s="2171" t="s">
        <v>983</v>
      </c>
      <c r="E1961" s="2398">
        <v>0</v>
      </c>
      <c r="F1961" s="1897"/>
      <c r="G1961" s="1896"/>
      <c r="H1961" s="2354"/>
    </row>
    <row r="1962" spans="1:10" ht="16.5" hidden="1" customHeight="1">
      <c r="A1962" s="1836"/>
      <c r="B1962" s="2401"/>
      <c r="C1962" s="2402" t="s">
        <v>1093</v>
      </c>
      <c r="D1962" s="2171" t="s">
        <v>1092</v>
      </c>
      <c r="E1962" s="2398">
        <v>0</v>
      </c>
      <c r="F1962" s="1897"/>
      <c r="G1962" s="1896"/>
      <c r="H1962" s="2354"/>
    </row>
    <row r="1963" spans="1:10" ht="16.5" hidden="1" customHeight="1">
      <c r="A1963" s="1836"/>
      <c r="B1963" s="2401"/>
      <c r="C1963" s="2402" t="s">
        <v>487</v>
      </c>
      <c r="D1963" s="2171" t="s">
        <v>1092</v>
      </c>
      <c r="E1963" s="2398">
        <v>0</v>
      </c>
      <c r="F1963" s="1897"/>
      <c r="G1963" s="1896"/>
      <c r="H1963" s="2354"/>
    </row>
    <row r="1964" spans="1:10" ht="16.5" hidden="1" customHeight="1">
      <c r="A1964" s="1836"/>
      <c r="B1964" s="2401"/>
      <c r="C1964" s="2400" t="s">
        <v>488</v>
      </c>
      <c r="D1964" s="2399" t="s">
        <v>1137</v>
      </c>
      <c r="E1964" s="2398">
        <v>0</v>
      </c>
      <c r="F1964" s="1897"/>
      <c r="G1964" s="1896"/>
      <c r="H1964" s="2354"/>
    </row>
    <row r="1965" spans="1:10" ht="16.5" hidden="1" customHeight="1">
      <c r="A1965" s="1836"/>
      <c r="B1965" s="2401"/>
      <c r="C1965" s="2400" t="s">
        <v>486</v>
      </c>
      <c r="D1965" s="2399" t="s">
        <v>981</v>
      </c>
      <c r="E1965" s="2398">
        <v>0</v>
      </c>
      <c r="F1965" s="1897"/>
      <c r="G1965" s="1896"/>
      <c r="H1965" s="2354"/>
    </row>
    <row r="1966" spans="1:10" ht="16.5" hidden="1" customHeight="1">
      <c r="A1966" s="1836"/>
      <c r="B1966" s="2401"/>
      <c r="C1966" s="2400" t="s">
        <v>485</v>
      </c>
      <c r="D1966" s="2399" t="s">
        <v>981</v>
      </c>
      <c r="E1966" s="2398">
        <v>0</v>
      </c>
      <c r="F1966" s="1897"/>
      <c r="G1966" s="1896"/>
      <c r="H1966" s="2354"/>
    </row>
    <row r="1967" spans="1:10" s="1906" customFormat="1" ht="16.5" customHeight="1">
      <c r="A1967" s="1923"/>
      <c r="B1967" s="2014"/>
      <c r="C1967" s="1989" t="s">
        <v>454</v>
      </c>
      <c r="D1967" s="2397" t="s">
        <v>1011</v>
      </c>
      <c r="E1967" s="2403">
        <v>8270</v>
      </c>
      <c r="F1967" s="1919">
        <v>0</v>
      </c>
      <c r="G1967" s="1918">
        <v>17933</v>
      </c>
      <c r="H1967" s="2311"/>
      <c r="J1967" s="1702"/>
    </row>
    <row r="1968" spans="1:10" s="1906" customFormat="1" ht="16.5" customHeight="1" thickBot="1">
      <c r="A1968" s="1913"/>
      <c r="B1968" s="2379"/>
      <c r="C1968" s="2395" t="s">
        <v>453</v>
      </c>
      <c r="D1968" s="2394" t="s">
        <v>1011</v>
      </c>
      <c r="E1968" s="1916">
        <v>1561</v>
      </c>
      <c r="F1968" s="1916">
        <v>0</v>
      </c>
      <c r="G1968" s="1915">
        <v>3165</v>
      </c>
      <c r="H1968" s="2311"/>
      <c r="J1968" s="1702"/>
    </row>
    <row r="1969" spans="1:10" ht="16.5" hidden="1" customHeight="1" thickBot="1">
      <c r="A1969" s="1836"/>
      <c r="B1969" s="1773"/>
      <c r="C1969" s="2477"/>
      <c r="D1969" s="2476"/>
      <c r="E1969" s="2000"/>
      <c r="F1969" s="1904"/>
      <c r="G1969" s="1903"/>
      <c r="H1969" s="2354"/>
    </row>
    <row r="1970" spans="1:10" s="1906" customFormat="1" ht="17.25" hidden="1" customHeight="1">
      <c r="A1970" s="1923"/>
      <c r="B1970" s="2158"/>
      <c r="C1970" s="4269" t="s">
        <v>941</v>
      </c>
      <c r="D1970" s="4269"/>
      <c r="E1970" s="1927">
        <f>SUM(E1971)</f>
        <v>482236</v>
      </c>
      <c r="F1970" s="1927">
        <f>SUM(F1971)</f>
        <v>0</v>
      </c>
      <c r="G1970" s="1926">
        <f>SUM(G1971)</f>
        <v>0</v>
      </c>
      <c r="H1970" s="2475" t="e">
        <f t="shared" ref="H1970:H2001" si="144">G1970/F1970</f>
        <v>#DIV/0!</v>
      </c>
      <c r="J1970" s="1702"/>
    </row>
    <row r="1971" spans="1:10" s="1906" customFormat="1" ht="17.25" hidden="1" customHeight="1">
      <c r="A1971" s="1923"/>
      <c r="B1971" s="2158"/>
      <c r="C1971" s="4270" t="s">
        <v>940</v>
      </c>
      <c r="D1971" s="4259"/>
      <c r="E1971" s="1919">
        <f>SUM(E1972)</f>
        <v>482236</v>
      </c>
      <c r="F1971" s="1919">
        <f>SUM(F1972:F1973)</f>
        <v>0</v>
      </c>
      <c r="G1971" s="1918">
        <f>SUM(G1972)</f>
        <v>0</v>
      </c>
      <c r="H1971" s="2311" t="e">
        <f t="shared" si="144"/>
        <v>#DIV/0!</v>
      </c>
      <c r="J1971" s="1702"/>
    </row>
    <row r="1972" spans="1:10" s="1906" customFormat="1" ht="16.5" hidden="1" customHeight="1">
      <c r="A1972" s="1923"/>
      <c r="B1972" s="2158"/>
      <c r="C1972" s="2405" t="s">
        <v>546</v>
      </c>
      <c r="D1972" s="2474" t="s">
        <v>1023</v>
      </c>
      <c r="E1972" s="1919">
        <v>482236</v>
      </c>
      <c r="F1972" s="1919"/>
      <c r="G1972" s="1918"/>
      <c r="H1972" s="2311" t="e">
        <f t="shared" si="144"/>
        <v>#DIV/0!</v>
      </c>
      <c r="J1972" s="1702"/>
    </row>
    <row r="1973" spans="1:10" s="1906" customFormat="1" ht="16.5" hidden="1" customHeight="1">
      <c r="A1973" s="1923"/>
      <c r="B1973" s="2158"/>
      <c r="C1973" s="1989" t="s">
        <v>553</v>
      </c>
      <c r="D1973" s="2063"/>
      <c r="E1973" s="1930"/>
      <c r="F1973" s="1930"/>
      <c r="G1973" s="1929"/>
      <c r="H1973" s="2311" t="e">
        <f t="shared" si="144"/>
        <v>#DIV/0!</v>
      </c>
      <c r="J1973" s="1702"/>
    </row>
    <row r="1974" spans="1:10" ht="17.25" hidden="1" customHeight="1">
      <c r="A1974" s="1836"/>
      <c r="B1974" s="1773"/>
      <c r="C1974" s="2473"/>
      <c r="D1974" s="2472" t="s">
        <v>1156</v>
      </c>
      <c r="E1974" s="2471">
        <v>0</v>
      </c>
      <c r="F1974" s="1904"/>
      <c r="G1974" s="1903"/>
      <c r="H1974" s="1902" t="e">
        <f t="shared" si="144"/>
        <v>#DIV/0!</v>
      </c>
    </row>
    <row r="1975" spans="1:10" ht="11.25" hidden="1" customHeight="1">
      <c r="A1975" s="1836"/>
      <c r="B1975" s="1773"/>
      <c r="C1975" s="4271" t="s">
        <v>944</v>
      </c>
      <c r="D1975" s="4271"/>
      <c r="E1975" s="2467">
        <v>0</v>
      </c>
      <c r="F1975" s="1897"/>
      <c r="G1975" s="1896"/>
      <c r="H1975" s="2354" t="e">
        <f t="shared" si="144"/>
        <v>#DIV/0!</v>
      </c>
    </row>
    <row r="1976" spans="1:10" ht="12" hidden="1" customHeight="1">
      <c r="A1976" s="1836"/>
      <c r="B1976" s="1773"/>
      <c r="C1976" s="4267" t="s">
        <v>943</v>
      </c>
      <c r="D1976" s="4267"/>
      <c r="E1976" s="1897">
        <v>0</v>
      </c>
      <c r="F1976" s="1897"/>
      <c r="G1976" s="1896"/>
      <c r="H1976" s="2354" t="e">
        <f t="shared" si="144"/>
        <v>#DIV/0!</v>
      </c>
    </row>
    <row r="1977" spans="1:10" ht="14.25" hidden="1" customHeight="1">
      <c r="A1977" s="1836"/>
      <c r="B1977" s="1773"/>
      <c r="C1977" s="2407" t="s">
        <v>359</v>
      </c>
      <c r="D1977" s="2415" t="s">
        <v>1136</v>
      </c>
      <c r="E1977" s="1897">
        <v>0</v>
      </c>
      <c r="F1977" s="1897"/>
      <c r="G1977" s="1896"/>
      <c r="H1977" s="2354" t="e">
        <f t="shared" si="144"/>
        <v>#DIV/0!</v>
      </c>
    </row>
    <row r="1978" spans="1:10" ht="12" hidden="1" customHeight="1">
      <c r="A1978" s="1836"/>
      <c r="B1978" s="1773"/>
      <c r="C1978" s="2470"/>
      <c r="D1978" s="2469" t="s">
        <v>1155</v>
      </c>
      <c r="E1978" s="2468">
        <v>0</v>
      </c>
      <c r="F1978" s="1897"/>
      <c r="G1978" s="1896"/>
      <c r="H1978" s="2354" t="e">
        <f t="shared" si="144"/>
        <v>#DIV/0!</v>
      </c>
    </row>
    <row r="1979" spans="1:10" ht="12.75" hidden="1" customHeight="1">
      <c r="A1979" s="1836"/>
      <c r="B1979" s="1773"/>
      <c r="C1979" s="4271" t="s">
        <v>944</v>
      </c>
      <c r="D1979" s="4271"/>
      <c r="E1979" s="2467">
        <v>0</v>
      </c>
      <c r="F1979" s="1897"/>
      <c r="G1979" s="1896"/>
      <c r="H1979" s="2354" t="e">
        <f t="shared" si="144"/>
        <v>#DIV/0!</v>
      </c>
    </row>
    <row r="1980" spans="1:10" ht="12.75" hidden="1" customHeight="1">
      <c r="A1980" s="1836"/>
      <c r="B1980" s="1773"/>
      <c r="C1980" s="4267" t="s">
        <v>943</v>
      </c>
      <c r="D1980" s="4267"/>
      <c r="E1980" s="1897">
        <v>0</v>
      </c>
      <c r="F1980" s="1897"/>
      <c r="G1980" s="1896"/>
      <c r="H1980" s="2354" t="e">
        <f t="shared" si="144"/>
        <v>#DIV/0!</v>
      </c>
    </row>
    <row r="1981" spans="1:10" ht="12" hidden="1" customHeight="1">
      <c r="A1981" s="1836"/>
      <c r="B1981" s="1773"/>
      <c r="C1981" s="2407" t="s">
        <v>359</v>
      </c>
      <c r="D1981" s="2415" t="s">
        <v>1136</v>
      </c>
      <c r="E1981" s="1897">
        <v>0</v>
      </c>
      <c r="F1981" s="1897"/>
      <c r="G1981" s="1896"/>
      <c r="H1981" s="2354" t="e">
        <f t="shared" si="144"/>
        <v>#DIV/0!</v>
      </c>
    </row>
    <row r="1982" spans="1:10" ht="13.5" hidden="1" customHeight="1">
      <c r="A1982" s="1836"/>
      <c r="B1982" s="1773"/>
      <c r="C1982" s="2407" t="s">
        <v>978</v>
      </c>
      <c r="D1982" s="2415" t="s">
        <v>987</v>
      </c>
      <c r="E1982" s="1897">
        <v>0</v>
      </c>
      <c r="F1982" s="1897"/>
      <c r="G1982" s="1896"/>
      <c r="H1982" s="2354" t="e">
        <f t="shared" si="144"/>
        <v>#DIV/0!</v>
      </c>
    </row>
    <row r="1983" spans="1:10" ht="6.75" hidden="1" customHeight="1">
      <c r="A1983" s="1836"/>
      <c r="B1983" s="1773"/>
      <c r="C1983" s="2163"/>
      <c r="D1983" s="2163"/>
      <c r="E1983" s="2162"/>
      <c r="F1983" s="1897"/>
      <c r="G1983" s="1896"/>
      <c r="H1983" s="2354" t="e">
        <f t="shared" si="144"/>
        <v>#DIV/0!</v>
      </c>
    </row>
    <row r="1984" spans="1:10" ht="9" hidden="1" customHeight="1">
      <c r="A1984" s="1836"/>
      <c r="B1984" s="1773"/>
      <c r="C1984" s="4262" t="s">
        <v>941</v>
      </c>
      <c r="D1984" s="4262"/>
      <c r="E1984" s="2467">
        <v>0</v>
      </c>
      <c r="F1984" s="1897"/>
      <c r="G1984" s="1896"/>
      <c r="H1984" s="2354" t="e">
        <f t="shared" si="144"/>
        <v>#DIV/0!</v>
      </c>
    </row>
    <row r="1985" spans="1:10" ht="10.5" hidden="1" customHeight="1">
      <c r="A1985" s="1836"/>
      <c r="B1985" s="1773"/>
      <c r="C1985" s="4263" t="s">
        <v>940</v>
      </c>
      <c r="D1985" s="4263"/>
      <c r="E1985" s="1897">
        <v>0</v>
      </c>
      <c r="F1985" s="1897"/>
      <c r="G1985" s="1896"/>
      <c r="H1985" s="2354" t="e">
        <f t="shared" si="144"/>
        <v>#DIV/0!</v>
      </c>
    </row>
    <row r="1986" spans="1:10" ht="12.75" hidden="1" customHeight="1">
      <c r="A1986" s="1836"/>
      <c r="B1986" s="1773"/>
      <c r="C1986" s="2466" t="s">
        <v>546</v>
      </c>
      <c r="D1986" s="2465" t="s">
        <v>1023</v>
      </c>
      <c r="E1986" s="2398">
        <v>0</v>
      </c>
      <c r="F1986" s="1897"/>
      <c r="G1986" s="1896"/>
      <c r="H1986" s="2354" t="e">
        <f t="shared" si="144"/>
        <v>#DIV/0!</v>
      </c>
    </row>
    <row r="1987" spans="1:10" ht="10.5" hidden="1" customHeight="1" thickBot="1">
      <c r="A1987" s="1836"/>
      <c r="B1987" s="1794"/>
      <c r="C1987" s="2464" t="s">
        <v>553</v>
      </c>
      <c r="D1987" s="2463" t="s">
        <v>1072</v>
      </c>
      <c r="E1987" s="2192">
        <v>0</v>
      </c>
      <c r="F1987" s="2192"/>
      <c r="G1987" s="2191"/>
      <c r="H1987" s="2354" t="e">
        <f t="shared" si="144"/>
        <v>#DIV/0!</v>
      </c>
    </row>
    <row r="1988" spans="1:10" ht="12" hidden="1" customHeight="1" thickBot="1">
      <c r="A1988" s="1836"/>
      <c r="B1988" s="2462" t="s">
        <v>1154</v>
      </c>
      <c r="C1988" s="2461"/>
      <c r="D1988" s="2460" t="s">
        <v>1153</v>
      </c>
      <c r="E1988" s="2459">
        <v>0</v>
      </c>
      <c r="F1988" s="1904"/>
      <c r="G1988" s="1903"/>
      <c r="H1988" s="2354" t="e">
        <f t="shared" si="144"/>
        <v>#DIV/0!</v>
      </c>
    </row>
    <row r="1989" spans="1:10" ht="9" hidden="1" customHeight="1">
      <c r="A1989" s="1836"/>
      <c r="B1989" s="1822"/>
      <c r="C1989" s="4264" t="s">
        <v>941</v>
      </c>
      <c r="D1989" s="4264"/>
      <c r="E1989" s="2458">
        <v>0</v>
      </c>
      <c r="F1989" s="1897"/>
      <c r="G1989" s="1896"/>
      <c r="H1989" s="2354" t="e">
        <f t="shared" si="144"/>
        <v>#DIV/0!</v>
      </c>
    </row>
    <row r="1990" spans="1:10" ht="6" hidden="1" customHeight="1">
      <c r="A1990" s="1836"/>
      <c r="B1990" s="1822"/>
      <c r="C1990" s="4263" t="s">
        <v>940</v>
      </c>
      <c r="D1990" s="4263"/>
      <c r="E1990" s="1897">
        <v>0</v>
      </c>
      <c r="F1990" s="1897"/>
      <c r="G1990" s="1896"/>
      <c r="H1990" s="2354" t="e">
        <f t="shared" si="144"/>
        <v>#DIV/0!</v>
      </c>
    </row>
    <row r="1991" spans="1:10" ht="12" hidden="1" customHeight="1" thickBot="1">
      <c r="A1991" s="1836"/>
      <c r="B1991" s="1822"/>
      <c r="C1991" s="2410" t="s">
        <v>1152</v>
      </c>
      <c r="D1991" s="2412" t="s">
        <v>1151</v>
      </c>
      <c r="E1991" s="2000">
        <v>0</v>
      </c>
      <c r="F1991" s="1897"/>
      <c r="G1991" s="1896"/>
      <c r="H1991" s="2354" t="e">
        <f t="shared" si="144"/>
        <v>#DIV/0!</v>
      </c>
    </row>
    <row r="1992" spans="1:10" ht="5.25" hidden="1" customHeight="1" thickBot="1">
      <c r="A1992" s="2454"/>
      <c r="B1992" s="2457" t="s">
        <v>1150</v>
      </c>
      <c r="C1992" s="2456"/>
      <c r="D1992" s="2455" t="s">
        <v>1149</v>
      </c>
      <c r="E1992" s="2181">
        <v>0</v>
      </c>
      <c r="F1992" s="1897"/>
      <c r="G1992" s="1896"/>
      <c r="H1992" s="2354" t="e">
        <f t="shared" si="144"/>
        <v>#DIV/0!</v>
      </c>
    </row>
    <row r="1993" spans="1:10" ht="9.75" hidden="1" customHeight="1">
      <c r="A1993" s="2454"/>
      <c r="B1993" s="4265"/>
      <c r="C1993" s="4094" t="s">
        <v>944</v>
      </c>
      <c r="D1993" s="4094"/>
      <c r="E1993" s="2356">
        <v>0</v>
      </c>
      <c r="F1993" s="1897"/>
      <c r="G1993" s="1896"/>
      <c r="H1993" s="2354" t="e">
        <f t="shared" si="144"/>
        <v>#DIV/0!</v>
      </c>
    </row>
    <row r="1994" spans="1:10" ht="9" hidden="1" customHeight="1">
      <c r="A1994" s="2454"/>
      <c r="B1994" s="4265"/>
      <c r="C1994" s="4267" t="s">
        <v>943</v>
      </c>
      <c r="D1994" s="4267"/>
      <c r="E1994" s="1897">
        <v>0</v>
      </c>
      <c r="F1994" s="1897"/>
      <c r="G1994" s="1896"/>
      <c r="H1994" s="2354" t="e">
        <f t="shared" si="144"/>
        <v>#DIV/0!</v>
      </c>
    </row>
    <row r="1995" spans="1:10" ht="7.5" hidden="1" customHeight="1" thickBot="1">
      <c r="A1995" s="2454"/>
      <c r="B1995" s="4266"/>
      <c r="C1995" s="2453" t="s">
        <v>91</v>
      </c>
      <c r="D1995" s="2452" t="s">
        <v>1148</v>
      </c>
      <c r="E1995" s="2192">
        <v>0</v>
      </c>
      <c r="F1995" s="2192"/>
      <c r="G1995" s="2191"/>
      <c r="H1995" s="2451" t="e">
        <f t="shared" si="144"/>
        <v>#DIV/0!</v>
      </c>
    </row>
    <row r="1996" spans="1:10" s="1906" customFormat="1" ht="17.100000000000001" hidden="1" customHeight="1" thickBot="1">
      <c r="A1996" s="1923"/>
      <c r="B1996" s="1971" t="s">
        <v>1147</v>
      </c>
      <c r="C1996" s="1970"/>
      <c r="D1996" s="1969" t="s">
        <v>191</v>
      </c>
      <c r="E1996" s="1968">
        <f>SUM(E1997,E2003)</f>
        <v>0</v>
      </c>
      <c r="F1996" s="1968">
        <f>SUM(F1997,F2003)</f>
        <v>1225000</v>
      </c>
      <c r="G1996" s="1967">
        <f>SUM(G1997,G2003)</f>
        <v>0</v>
      </c>
      <c r="H1996" s="1966">
        <f t="shared" si="144"/>
        <v>0</v>
      </c>
      <c r="J1996" s="1702"/>
    </row>
    <row r="1997" spans="1:10" s="1906" customFormat="1" ht="17.100000000000001" hidden="1" customHeight="1">
      <c r="A1997" s="1923"/>
      <c r="B1997" s="2437"/>
      <c r="C1997" s="4130" t="s">
        <v>944</v>
      </c>
      <c r="D1997" s="4130"/>
      <c r="E1997" s="1965">
        <f t="shared" ref="E1997:G1998" si="145">SUM(E1998)</f>
        <v>0</v>
      </c>
      <c r="F1997" s="1965">
        <f t="shared" si="145"/>
        <v>233626</v>
      </c>
      <c r="G1997" s="1964">
        <f t="shared" si="145"/>
        <v>0</v>
      </c>
      <c r="H1997" s="1963">
        <f t="shared" si="144"/>
        <v>0</v>
      </c>
      <c r="J1997" s="1702"/>
    </row>
    <row r="1998" spans="1:10" s="1906" customFormat="1" ht="17.100000000000001" hidden="1" customHeight="1">
      <c r="A1998" s="1923"/>
      <c r="B1998" s="2437"/>
      <c r="C1998" s="4260" t="s">
        <v>967</v>
      </c>
      <c r="D1998" s="4260"/>
      <c r="E1998" s="1919">
        <f t="shared" si="145"/>
        <v>0</v>
      </c>
      <c r="F1998" s="1919">
        <f t="shared" si="145"/>
        <v>233626</v>
      </c>
      <c r="G1998" s="1918">
        <f t="shared" si="145"/>
        <v>0</v>
      </c>
      <c r="H1998" s="2311">
        <f t="shared" si="144"/>
        <v>0</v>
      </c>
      <c r="J1998" s="1702"/>
    </row>
    <row r="1999" spans="1:10" s="1906" customFormat="1" ht="17.100000000000001" hidden="1" customHeight="1">
      <c r="A1999" s="1923"/>
      <c r="B1999" s="2437"/>
      <c r="C1999" s="4257" t="s">
        <v>961</v>
      </c>
      <c r="D1999" s="4258"/>
      <c r="E1999" s="2450">
        <f>SUM(E2000:E2001)</f>
        <v>0</v>
      </c>
      <c r="F1999" s="2450">
        <f>SUM(F2000:F2001)</f>
        <v>233626</v>
      </c>
      <c r="G1999" s="2443">
        <f>SUM(G2000:G2001)</f>
        <v>0</v>
      </c>
      <c r="H1999" s="2337">
        <f t="shared" si="144"/>
        <v>0</v>
      </c>
      <c r="J1999" s="1702"/>
    </row>
    <row r="2000" spans="1:10" s="1906" customFormat="1" ht="17.100000000000001" hidden="1" customHeight="1">
      <c r="A2000" s="1923"/>
      <c r="B2000" s="2437"/>
      <c r="C2000" s="2404" t="s">
        <v>613</v>
      </c>
      <c r="D2000" s="2414" t="s">
        <v>960</v>
      </c>
      <c r="E2000" s="2449">
        <v>0</v>
      </c>
      <c r="F2000" s="2449">
        <v>8626</v>
      </c>
      <c r="G2000" s="2441">
        <v>0</v>
      </c>
      <c r="H2000" s="2311">
        <f t="shared" si="144"/>
        <v>0</v>
      </c>
      <c r="J2000" s="1702"/>
    </row>
    <row r="2001" spans="1:10" s="1906" customFormat="1" ht="16.5" hidden="1" customHeight="1">
      <c r="A2001" s="1923"/>
      <c r="B2001" s="2437"/>
      <c r="C2001" s="1924" t="s">
        <v>959</v>
      </c>
      <c r="D2001" s="2440" t="s">
        <v>958</v>
      </c>
      <c r="E2001" s="1919">
        <v>0</v>
      </c>
      <c r="F2001" s="1919">
        <v>225000</v>
      </c>
      <c r="G2001" s="1918">
        <v>0</v>
      </c>
      <c r="H2001" s="2311">
        <f t="shared" si="144"/>
        <v>0</v>
      </c>
      <c r="J2001" s="1702"/>
    </row>
    <row r="2002" spans="1:10" s="1906" customFormat="1" ht="16.5" hidden="1" customHeight="1">
      <c r="A2002" s="1922"/>
      <c r="B2002" s="2437"/>
      <c r="C2002" s="1977"/>
      <c r="D2002" s="2448"/>
      <c r="E2002" s="1977"/>
      <c r="F2002" s="1919"/>
      <c r="G2002" s="1918"/>
      <c r="H2002" s="2311"/>
      <c r="J2002" s="1702"/>
    </row>
    <row r="2003" spans="1:10" s="1906" customFormat="1" ht="16.5" hidden="1" customHeight="1">
      <c r="A2003" s="1923"/>
      <c r="B2003" s="2437"/>
      <c r="C2003" s="4119" t="s">
        <v>941</v>
      </c>
      <c r="D2003" s="4119"/>
      <c r="E2003" s="1965">
        <f t="shared" ref="E2003:G2004" si="146">SUM(E2004)</f>
        <v>0</v>
      </c>
      <c r="F2003" s="1965">
        <f t="shared" si="146"/>
        <v>991374</v>
      </c>
      <c r="G2003" s="1964">
        <f t="shared" si="146"/>
        <v>0</v>
      </c>
      <c r="H2003" s="1963">
        <f t="shared" ref="H2003:H2011" si="147">G2003/F2003</f>
        <v>0</v>
      </c>
      <c r="J2003" s="1702"/>
    </row>
    <row r="2004" spans="1:10" s="1906" customFormat="1" ht="17.25" hidden="1" customHeight="1">
      <c r="A2004" s="1923"/>
      <c r="B2004" s="2437"/>
      <c r="C2004" s="4259" t="s">
        <v>940</v>
      </c>
      <c r="D2004" s="4259"/>
      <c r="E2004" s="1919">
        <f t="shared" si="146"/>
        <v>0</v>
      </c>
      <c r="F2004" s="1919">
        <f t="shared" si="146"/>
        <v>991374</v>
      </c>
      <c r="G2004" s="1918">
        <f t="shared" si="146"/>
        <v>0</v>
      </c>
      <c r="H2004" s="2311">
        <f t="shared" si="147"/>
        <v>0</v>
      </c>
      <c r="J2004" s="1702"/>
    </row>
    <row r="2005" spans="1:10" s="1906" customFormat="1" ht="17.25" hidden="1" customHeight="1" thickBot="1">
      <c r="A2005" s="1913"/>
      <c r="B2005" s="2447"/>
      <c r="C2005" s="2446" t="s">
        <v>553</v>
      </c>
      <c r="D2005" s="2445" t="s">
        <v>1072</v>
      </c>
      <c r="E2005" s="1916">
        <v>0</v>
      </c>
      <c r="F2005" s="1916">
        <v>991374</v>
      </c>
      <c r="G2005" s="1915">
        <v>0</v>
      </c>
      <c r="H2005" s="1907">
        <f t="shared" si="147"/>
        <v>0</v>
      </c>
      <c r="J2005" s="1702"/>
    </row>
    <row r="2006" spans="1:10" s="1906" customFormat="1" ht="17.100000000000001" customHeight="1" thickBot="1">
      <c r="A2006" s="1954"/>
      <c r="B2006" s="1971" t="s">
        <v>495</v>
      </c>
      <c r="C2006" s="1970"/>
      <c r="D2006" s="1969" t="s">
        <v>50</v>
      </c>
      <c r="E2006" s="1968">
        <f>SUM(E2007,E2088)</f>
        <v>16222304</v>
      </c>
      <c r="F2006" s="1968">
        <f>SUM(F2007,F2088)</f>
        <v>19430987</v>
      </c>
      <c r="G2006" s="1967">
        <f>SUM(G2007,G2088)</f>
        <v>10594230</v>
      </c>
      <c r="H2006" s="1966">
        <f t="shared" si="147"/>
        <v>0.5452234618859042</v>
      </c>
      <c r="J2006" s="1702"/>
    </row>
    <row r="2007" spans="1:10" s="1906" customFormat="1" ht="17.100000000000001" customHeight="1">
      <c r="A2007" s="1923"/>
      <c r="B2007" s="2014"/>
      <c r="C2007" s="4130" t="s">
        <v>944</v>
      </c>
      <c r="D2007" s="4130"/>
      <c r="E2007" s="1965">
        <f>SUM(E2008,E2015,E2023)</f>
        <v>15850760</v>
      </c>
      <c r="F2007" s="1965">
        <f>SUM(F2008,F2015,F2023)</f>
        <v>19201168</v>
      </c>
      <c r="G2007" s="1964">
        <f>SUM(G2008,G2015,G2023)</f>
        <v>10594230</v>
      </c>
      <c r="H2007" s="1963">
        <f t="shared" si="147"/>
        <v>0.55174924775409495</v>
      </c>
      <c r="J2007" s="1702"/>
    </row>
    <row r="2008" spans="1:10" s="1906" customFormat="1" ht="17.100000000000001" customHeight="1">
      <c r="A2008" s="1923"/>
      <c r="B2008" s="2437"/>
      <c r="C2008" s="4260" t="s">
        <v>967</v>
      </c>
      <c r="D2008" s="4260"/>
      <c r="E2008" s="1919">
        <f>SUM(E2009)</f>
        <v>0</v>
      </c>
      <c r="F2008" s="1919">
        <f>SUM(F2009)</f>
        <v>845039</v>
      </c>
      <c r="G2008" s="1918">
        <f>SUM(G2009)</f>
        <v>289000</v>
      </c>
      <c r="H2008" s="2311">
        <f t="shared" si="147"/>
        <v>0.34199604988645493</v>
      </c>
      <c r="J2008" s="1702"/>
    </row>
    <row r="2009" spans="1:10" s="1906" customFormat="1" ht="17.100000000000001" customHeight="1">
      <c r="A2009" s="1923"/>
      <c r="B2009" s="2437"/>
      <c r="C2009" s="4257" t="s">
        <v>961</v>
      </c>
      <c r="D2009" s="4258"/>
      <c r="E2009" s="2444">
        <f>SUM(E2010:E2011)</f>
        <v>0</v>
      </c>
      <c r="F2009" s="2444">
        <f>SUM(F2010:F2013)</f>
        <v>845039</v>
      </c>
      <c r="G2009" s="2443">
        <f>SUM(G2010:G2013)</f>
        <v>289000</v>
      </c>
      <c r="H2009" s="2337">
        <f t="shared" si="147"/>
        <v>0.34199604988645493</v>
      </c>
      <c r="J2009" s="1702"/>
    </row>
    <row r="2010" spans="1:10" s="1906" customFormat="1" ht="17.100000000000001" hidden="1" customHeight="1">
      <c r="A2010" s="1923"/>
      <c r="B2010" s="2437"/>
      <c r="C2010" s="1989" t="s">
        <v>613</v>
      </c>
      <c r="D2010" s="2442" t="s">
        <v>960</v>
      </c>
      <c r="E2010" s="2403">
        <v>0</v>
      </c>
      <c r="F2010" s="1919">
        <v>545039</v>
      </c>
      <c r="G2010" s="2441">
        <v>0</v>
      </c>
      <c r="H2010" s="2311">
        <f t="shared" si="147"/>
        <v>0</v>
      </c>
      <c r="J2010" s="1702"/>
    </row>
    <row r="2011" spans="1:10" s="1906" customFormat="1" ht="16.5" hidden="1" customHeight="1">
      <c r="A2011" s="1923"/>
      <c r="B2011" s="2437"/>
      <c r="C2011" s="1924" t="s">
        <v>959</v>
      </c>
      <c r="D2011" s="2440" t="s">
        <v>958</v>
      </c>
      <c r="E2011" s="1919">
        <v>0</v>
      </c>
      <c r="F2011" s="1919">
        <v>300000</v>
      </c>
      <c r="G2011" s="1918">
        <v>0</v>
      </c>
      <c r="H2011" s="2311">
        <f t="shared" si="147"/>
        <v>0</v>
      </c>
      <c r="J2011" s="1702"/>
    </row>
    <row r="2012" spans="1:10" s="1906" customFormat="1" ht="27" customHeight="1">
      <c r="A2012" s="1923"/>
      <c r="B2012" s="2437"/>
      <c r="C2012" s="1989" t="s">
        <v>1146</v>
      </c>
      <c r="D2012" s="2439" t="s">
        <v>1145</v>
      </c>
      <c r="E2012" s="1930"/>
      <c r="F2012" s="1930">
        <v>0</v>
      </c>
      <c r="G2012" s="1929">
        <v>200000</v>
      </c>
      <c r="H2012" s="1928"/>
      <c r="J2012" s="1702" t="s">
        <v>1086</v>
      </c>
    </row>
    <row r="2013" spans="1:10" s="1906" customFormat="1" ht="16.5" customHeight="1">
      <c r="A2013" s="1923"/>
      <c r="B2013" s="2437"/>
      <c r="C2013" s="2404" t="s">
        <v>1144</v>
      </c>
      <c r="D2013" s="2438" t="s">
        <v>1143</v>
      </c>
      <c r="E2013" s="1930"/>
      <c r="F2013" s="1930">
        <v>0</v>
      </c>
      <c r="G2013" s="1929">
        <v>89000</v>
      </c>
      <c r="H2013" s="1928"/>
      <c r="J2013" s="1702" t="s">
        <v>1086</v>
      </c>
    </row>
    <row r="2014" spans="1:10" s="1906" customFormat="1" ht="16.5" customHeight="1">
      <c r="A2014" s="1922"/>
      <c r="B2014" s="2437"/>
      <c r="C2014" s="2046"/>
      <c r="D2014" s="2010"/>
      <c r="E2014" s="1930"/>
      <c r="F2014" s="1930"/>
      <c r="G2014" s="1929"/>
      <c r="H2014" s="1928"/>
      <c r="J2014" s="1702"/>
    </row>
    <row r="2015" spans="1:10" s="1906" customFormat="1" ht="17.100000000000001" customHeight="1">
      <c r="A2015" s="1923"/>
      <c r="B2015" s="2014"/>
      <c r="C2015" s="4260" t="s">
        <v>943</v>
      </c>
      <c r="D2015" s="4260"/>
      <c r="E2015" s="1919">
        <f>SUM(E2016:E2021)</f>
        <v>11829997</v>
      </c>
      <c r="F2015" s="1919">
        <f>SUM(F2016:F2021)</f>
        <v>13302336</v>
      </c>
      <c r="G2015" s="1918">
        <f>SUM(G2016:G2021)</f>
        <v>6402058</v>
      </c>
      <c r="H2015" s="2311">
        <f>G2015/F2015</f>
        <v>0.4812732139678324</v>
      </c>
      <c r="J2015" s="1702"/>
    </row>
    <row r="2016" spans="1:10" s="1906" customFormat="1" ht="66.75" customHeight="1">
      <c r="A2016" s="1923"/>
      <c r="B2016" s="2014"/>
      <c r="C2016" s="2406" t="s">
        <v>359</v>
      </c>
      <c r="D2016" s="2414" t="s">
        <v>1117</v>
      </c>
      <c r="E2016" s="1919">
        <v>9041963</v>
      </c>
      <c r="F2016" s="1919">
        <v>10084260</v>
      </c>
      <c r="G2016" s="1918">
        <v>4711394</v>
      </c>
      <c r="H2016" s="2311">
        <f>G2016/F2016</f>
        <v>0.46720274963160413</v>
      </c>
      <c r="J2016" s="1702" t="s">
        <v>1025</v>
      </c>
    </row>
    <row r="2017" spans="1:10" s="1906" customFormat="1" ht="60" customHeight="1">
      <c r="A2017" s="1923"/>
      <c r="B2017" s="2014"/>
      <c r="C2017" s="2406" t="s">
        <v>185</v>
      </c>
      <c r="D2017" s="2276" t="s">
        <v>1095</v>
      </c>
      <c r="E2017" s="1919">
        <v>2788034</v>
      </c>
      <c r="F2017" s="1919">
        <v>2666113</v>
      </c>
      <c r="G2017" s="1918">
        <v>1490664</v>
      </c>
      <c r="H2017" s="2311">
        <f>G2017/F2017</f>
        <v>0.55911508626978679</v>
      </c>
      <c r="J2017" s="1702" t="s">
        <v>1025</v>
      </c>
    </row>
    <row r="2018" spans="1:10" s="1906" customFormat="1" ht="40.5" customHeight="1">
      <c r="A2018" s="1923"/>
      <c r="B2018" s="2014"/>
      <c r="C2018" s="2428" t="s">
        <v>1142</v>
      </c>
      <c r="D2018" s="2276" t="s">
        <v>1141</v>
      </c>
      <c r="E2018" s="2403"/>
      <c r="F2018" s="1919">
        <v>0</v>
      </c>
      <c r="G2018" s="1918">
        <v>200000</v>
      </c>
      <c r="H2018" s="2311"/>
      <c r="J2018" s="1702" t="s">
        <v>1086</v>
      </c>
    </row>
    <row r="2019" spans="1:10" s="1906" customFormat="1" ht="51" hidden="1">
      <c r="A2019" s="1923"/>
      <c r="B2019" s="2014"/>
      <c r="C2019" s="2428" t="s">
        <v>112</v>
      </c>
      <c r="D2019" s="2414" t="s">
        <v>956</v>
      </c>
      <c r="E2019" s="2403"/>
      <c r="F2019" s="1919">
        <v>101790</v>
      </c>
      <c r="G2019" s="1918">
        <v>0</v>
      </c>
      <c r="H2019" s="2311">
        <f>G2019/F2019</f>
        <v>0</v>
      </c>
      <c r="J2019" s="1702"/>
    </row>
    <row r="2020" spans="1:10" s="1906" customFormat="1" ht="54.75" hidden="1" customHeight="1">
      <c r="A2020" s="1923"/>
      <c r="B2020" s="2014"/>
      <c r="C2020" s="2405" t="s">
        <v>300</v>
      </c>
      <c r="D2020" s="2436" t="s">
        <v>1127</v>
      </c>
      <c r="E2020" s="2403">
        <v>0</v>
      </c>
      <c r="F2020" s="1919">
        <v>21318</v>
      </c>
      <c r="G2020" s="1918">
        <v>0</v>
      </c>
      <c r="H2020" s="2311">
        <f>G2020/F2020</f>
        <v>0</v>
      </c>
      <c r="J2020" s="1702"/>
    </row>
    <row r="2021" spans="1:10" s="1906" customFormat="1" ht="15" hidden="1" customHeight="1">
      <c r="A2021" s="1923"/>
      <c r="B2021" s="2014"/>
      <c r="C2021" s="2405">
        <v>2959</v>
      </c>
      <c r="D2021" s="2435" t="s">
        <v>1115</v>
      </c>
      <c r="E2021" s="1919">
        <v>0</v>
      </c>
      <c r="F2021" s="1919">
        <v>428855</v>
      </c>
      <c r="G2021" s="1918">
        <v>0</v>
      </c>
      <c r="H2021" s="2311">
        <f>G2021/F2021</f>
        <v>0</v>
      </c>
      <c r="J2021" s="1702"/>
    </row>
    <row r="2022" spans="1:10" s="1906" customFormat="1" ht="16.5" customHeight="1">
      <c r="A2022" s="1923"/>
      <c r="B2022" s="2014"/>
      <c r="C2022" s="2434"/>
      <c r="D2022" s="2433"/>
      <c r="E2022" s="1919"/>
      <c r="F2022" s="1919"/>
      <c r="G2022" s="1918"/>
      <c r="H2022" s="2311"/>
      <c r="J2022" s="1702"/>
    </row>
    <row r="2023" spans="1:10" s="1906" customFormat="1" ht="15.75" customHeight="1">
      <c r="A2023" s="1923"/>
      <c r="B2023" s="2014"/>
      <c r="C2023" s="4260" t="s">
        <v>976</v>
      </c>
      <c r="D2023" s="4261"/>
      <c r="E2023" s="1919">
        <f>SUM(E2026:E2086)</f>
        <v>4020763</v>
      </c>
      <c r="F2023" s="1919">
        <f>SUM(F2026:F2086)</f>
        <v>5053793</v>
      </c>
      <c r="G2023" s="1918">
        <f>SUM(G2026:G2086)</f>
        <v>3903172</v>
      </c>
      <c r="H2023" s="2311">
        <f t="shared" ref="H2023:H2054" si="148">G2023/F2023</f>
        <v>0.77232526144224745</v>
      </c>
      <c r="J2023" s="1702" t="s">
        <v>1086</v>
      </c>
    </row>
    <row r="2024" spans="1:10" s="1906" customFormat="1" ht="63" hidden="1" customHeight="1">
      <c r="A2024" s="1923"/>
      <c r="B2024" s="2014"/>
      <c r="C2024" s="2432" t="s">
        <v>196</v>
      </c>
      <c r="D2024" s="1948" t="s">
        <v>1140</v>
      </c>
      <c r="E2024" s="2403">
        <v>0</v>
      </c>
      <c r="F2024" s="1919"/>
      <c r="G2024" s="1918"/>
      <c r="H2024" s="2311" t="e">
        <f t="shared" si="148"/>
        <v>#DIV/0!</v>
      </c>
      <c r="J2024" s="1702"/>
    </row>
    <row r="2025" spans="1:10" s="1906" customFormat="1" ht="60.75" hidden="1" customHeight="1">
      <c r="A2025" s="1923"/>
      <c r="B2025" s="2014"/>
      <c r="C2025" s="2432" t="s">
        <v>359</v>
      </c>
      <c r="D2025" s="1948" t="s">
        <v>1117</v>
      </c>
      <c r="E2025" s="2403">
        <v>0</v>
      </c>
      <c r="F2025" s="1919"/>
      <c r="G2025" s="1918"/>
      <c r="H2025" s="2311" t="e">
        <f t="shared" si="148"/>
        <v>#DIV/0!</v>
      </c>
      <c r="J2025" s="1702"/>
    </row>
    <row r="2026" spans="1:10" s="1906" customFormat="1" ht="60" customHeight="1">
      <c r="A2026" s="1923"/>
      <c r="B2026" s="2014"/>
      <c r="C2026" s="2406" t="s">
        <v>183</v>
      </c>
      <c r="D2026" s="2431" t="s">
        <v>1095</v>
      </c>
      <c r="E2026" s="2403">
        <v>1681242</v>
      </c>
      <c r="F2026" s="1919">
        <v>2572330</v>
      </c>
      <c r="G2026" s="1918">
        <v>2391539</v>
      </c>
      <c r="H2026" s="2311">
        <f t="shared" si="148"/>
        <v>0.92971702697554359</v>
      </c>
      <c r="J2026" s="1702"/>
    </row>
    <row r="2027" spans="1:10" s="1906" customFormat="1" ht="60.75" customHeight="1">
      <c r="A2027" s="1922"/>
      <c r="B2027" s="2014"/>
      <c r="C2027" s="2417" t="s">
        <v>185</v>
      </c>
      <c r="D2027" s="2430" t="s">
        <v>1095</v>
      </c>
      <c r="E2027" s="1919">
        <v>313588</v>
      </c>
      <c r="F2027" s="1919">
        <v>216917</v>
      </c>
      <c r="G2027" s="1918">
        <v>414979</v>
      </c>
      <c r="H2027" s="2311">
        <f t="shared" si="148"/>
        <v>1.913077352166958</v>
      </c>
      <c r="J2027" s="1702"/>
    </row>
    <row r="2028" spans="1:10" s="1906" customFormat="1" ht="59.25" hidden="1" customHeight="1">
      <c r="A2028" s="1923"/>
      <c r="B2028" s="2014"/>
      <c r="C2028" s="2429" t="s">
        <v>157</v>
      </c>
      <c r="D2028" s="2276" t="s">
        <v>1127</v>
      </c>
      <c r="E2028" s="1975">
        <v>0</v>
      </c>
      <c r="F2028" s="1930"/>
      <c r="G2028" s="1929"/>
      <c r="H2028" s="1928" t="e">
        <f t="shared" si="148"/>
        <v>#DIV/0!</v>
      </c>
      <c r="J2028" s="1702"/>
    </row>
    <row r="2029" spans="1:10" s="1906" customFormat="1" ht="54.75" hidden="1" customHeight="1">
      <c r="A2029" s="1923"/>
      <c r="B2029" s="2014"/>
      <c r="C2029" s="2428" t="s">
        <v>300</v>
      </c>
      <c r="D2029" s="2276" t="s">
        <v>1116</v>
      </c>
      <c r="E2029" s="2403">
        <v>0</v>
      </c>
      <c r="F2029" s="1919"/>
      <c r="G2029" s="1918"/>
      <c r="H2029" s="2311" t="e">
        <f t="shared" si="148"/>
        <v>#DIV/0!</v>
      </c>
      <c r="J2029" s="1702"/>
    </row>
    <row r="2030" spans="1:10" s="1906" customFormat="1" ht="16.5" hidden="1" customHeight="1">
      <c r="A2030" s="1922"/>
      <c r="B2030" s="2014"/>
      <c r="C2030" s="2427" t="s">
        <v>346</v>
      </c>
      <c r="D2030" s="2276" t="s">
        <v>1115</v>
      </c>
      <c r="E2030" s="2403">
        <v>0</v>
      </c>
      <c r="F2030" s="1919">
        <v>34651</v>
      </c>
      <c r="G2030" s="1918">
        <v>0</v>
      </c>
      <c r="H2030" s="2311">
        <f t="shared" si="148"/>
        <v>0</v>
      </c>
      <c r="J2030" s="1702"/>
    </row>
    <row r="2031" spans="1:10" s="1906" customFormat="1" ht="16.5" hidden="1" customHeight="1">
      <c r="A2031" s="1923"/>
      <c r="B2031" s="2014"/>
      <c r="C2031" s="2427" t="s">
        <v>301</v>
      </c>
      <c r="D2031" s="2426" t="s">
        <v>1115</v>
      </c>
      <c r="E2031" s="2403">
        <v>0</v>
      </c>
      <c r="F2031" s="1919">
        <v>5230</v>
      </c>
      <c r="G2031" s="1918">
        <v>0</v>
      </c>
      <c r="H2031" s="2311">
        <f t="shared" si="148"/>
        <v>0</v>
      </c>
      <c r="J2031" s="1702"/>
    </row>
    <row r="2032" spans="1:10" ht="16.5" hidden="1" customHeight="1">
      <c r="A2032" s="1836"/>
      <c r="B2032" s="2401"/>
      <c r="C2032" s="2425" t="s">
        <v>1139</v>
      </c>
      <c r="D2032" s="2415" t="s">
        <v>977</v>
      </c>
      <c r="E2032" s="2398">
        <v>0</v>
      </c>
      <c r="F2032" s="1897"/>
      <c r="G2032" s="1896"/>
      <c r="H2032" s="2354" t="e">
        <f t="shared" si="148"/>
        <v>#DIV/0!</v>
      </c>
    </row>
    <row r="2033" spans="1:10" ht="16.5" hidden="1" customHeight="1">
      <c r="A2033" s="1836"/>
      <c r="B2033" s="2401"/>
      <c r="C2033" s="2424" t="s">
        <v>631</v>
      </c>
      <c r="D2033" s="2415" t="s">
        <v>977</v>
      </c>
      <c r="E2033" s="2398">
        <v>0</v>
      </c>
      <c r="F2033" s="1897"/>
      <c r="G2033" s="1896"/>
      <c r="H2033" s="2354" t="e">
        <f t="shared" si="148"/>
        <v>#DIV/0!</v>
      </c>
    </row>
    <row r="2034" spans="1:10" ht="16.5" hidden="1" customHeight="1">
      <c r="A2034" s="1836"/>
      <c r="B2034" s="2401"/>
      <c r="C2034" s="2424" t="s">
        <v>630</v>
      </c>
      <c r="D2034" s="2415" t="s">
        <v>977</v>
      </c>
      <c r="E2034" s="2398">
        <v>0</v>
      </c>
      <c r="F2034" s="1897"/>
      <c r="G2034" s="1896"/>
      <c r="H2034" s="2354" t="e">
        <f t="shared" si="148"/>
        <v>#DIV/0!</v>
      </c>
    </row>
    <row r="2035" spans="1:10" s="1906" customFormat="1" ht="16.5" customHeight="1">
      <c r="A2035" s="1923"/>
      <c r="B2035" s="2014"/>
      <c r="C2035" s="2406" t="s">
        <v>462</v>
      </c>
      <c r="D2035" s="2414" t="s">
        <v>1015</v>
      </c>
      <c r="E2035" s="2403">
        <v>504613</v>
      </c>
      <c r="F2035" s="1919">
        <v>567160</v>
      </c>
      <c r="G2035" s="1918">
        <v>308258</v>
      </c>
      <c r="H2035" s="2311">
        <f t="shared" si="148"/>
        <v>0.54351153113759787</v>
      </c>
      <c r="J2035" s="1702"/>
    </row>
    <row r="2036" spans="1:10" s="1906" customFormat="1" ht="16.5" hidden="1" customHeight="1">
      <c r="A2036" s="1923"/>
      <c r="B2036" s="2014"/>
      <c r="C2036" s="2406" t="s">
        <v>479</v>
      </c>
      <c r="D2036" s="2414" t="s">
        <v>1015</v>
      </c>
      <c r="E2036" s="2403">
        <v>0</v>
      </c>
      <c r="F2036" s="1919">
        <v>29644</v>
      </c>
      <c r="G2036" s="1918">
        <v>0</v>
      </c>
      <c r="H2036" s="2311">
        <f t="shared" si="148"/>
        <v>0</v>
      </c>
      <c r="J2036" s="1702"/>
    </row>
    <row r="2037" spans="1:10" s="1906" customFormat="1" ht="16.5" customHeight="1">
      <c r="A2037" s="1923"/>
      <c r="B2037" s="2014"/>
      <c r="C2037" s="2417" t="s">
        <v>461</v>
      </c>
      <c r="D2037" s="2416" t="s">
        <v>1015</v>
      </c>
      <c r="E2037" s="2403">
        <v>136153</v>
      </c>
      <c r="F2037" s="1919">
        <v>155143</v>
      </c>
      <c r="G2037" s="1918">
        <v>57497</v>
      </c>
      <c r="H2037" s="2311">
        <f t="shared" si="148"/>
        <v>0.37060647273805458</v>
      </c>
      <c r="J2037" s="1702"/>
    </row>
    <row r="2038" spans="1:10" s="1906" customFormat="1" ht="16.5" customHeight="1">
      <c r="A2038" s="1923"/>
      <c r="B2038" s="2014"/>
      <c r="C2038" s="1976" t="s">
        <v>494</v>
      </c>
      <c r="D2038" s="1920" t="s">
        <v>1013</v>
      </c>
      <c r="E2038" s="2403">
        <v>66326</v>
      </c>
      <c r="F2038" s="1919">
        <v>58660</v>
      </c>
      <c r="G2038" s="1918">
        <v>44722</v>
      </c>
      <c r="H2038" s="2311">
        <f t="shared" si="148"/>
        <v>0.76239345380156831</v>
      </c>
      <c r="J2038" s="1702"/>
    </row>
    <row r="2039" spans="1:10" ht="16.5" hidden="1" customHeight="1">
      <c r="A2039" s="1836"/>
      <c r="B2039" s="2401"/>
      <c r="C2039" s="2423" t="s">
        <v>536</v>
      </c>
      <c r="D2039" s="2415" t="s">
        <v>1013</v>
      </c>
      <c r="E2039" s="2398">
        <v>0</v>
      </c>
      <c r="F2039" s="1897"/>
      <c r="G2039" s="1896"/>
      <c r="H2039" s="2354" t="e">
        <f t="shared" si="148"/>
        <v>#DIV/0!</v>
      </c>
    </row>
    <row r="2040" spans="1:10" s="1906" customFormat="1" ht="16.5" customHeight="1">
      <c r="A2040" s="1923"/>
      <c r="B2040" s="2014"/>
      <c r="C2040" s="2406" t="s">
        <v>493</v>
      </c>
      <c r="D2040" s="2414" t="s">
        <v>1013</v>
      </c>
      <c r="E2040" s="2403">
        <v>3541</v>
      </c>
      <c r="F2040" s="1919">
        <v>3514</v>
      </c>
      <c r="G2040" s="1918">
        <v>3582</v>
      </c>
      <c r="H2040" s="2311">
        <f t="shared" si="148"/>
        <v>1.0193511667615254</v>
      </c>
      <c r="J2040" s="1702"/>
    </row>
    <row r="2041" spans="1:10" s="1906" customFormat="1" ht="16.5" customHeight="1">
      <c r="A2041" s="1923"/>
      <c r="B2041" s="2014"/>
      <c r="C2041" s="2406" t="s">
        <v>460</v>
      </c>
      <c r="D2041" s="2414" t="s">
        <v>964</v>
      </c>
      <c r="E2041" s="2403">
        <v>97860</v>
      </c>
      <c r="F2041" s="1919">
        <v>108417</v>
      </c>
      <c r="G2041" s="1918">
        <v>60961</v>
      </c>
      <c r="H2041" s="2311">
        <f t="shared" si="148"/>
        <v>0.5622826678472933</v>
      </c>
      <c r="J2041" s="1702"/>
    </row>
    <row r="2042" spans="1:10" s="1906" customFormat="1" ht="16.5" hidden="1" customHeight="1">
      <c r="A2042" s="1923"/>
      <c r="B2042" s="2014"/>
      <c r="C2042" s="2406" t="s">
        <v>478</v>
      </c>
      <c r="D2042" s="2414" t="s">
        <v>964</v>
      </c>
      <c r="E2042" s="2403">
        <v>0</v>
      </c>
      <c r="F2042" s="1919">
        <v>5040</v>
      </c>
      <c r="G2042" s="1918">
        <v>0</v>
      </c>
      <c r="H2042" s="2311">
        <f t="shared" si="148"/>
        <v>0</v>
      </c>
      <c r="J2042" s="1702"/>
    </row>
    <row r="2043" spans="1:10" s="1906" customFormat="1" ht="16.5" customHeight="1">
      <c r="A2043" s="1923"/>
      <c r="B2043" s="2014"/>
      <c r="C2043" s="2406" t="s">
        <v>459</v>
      </c>
      <c r="D2043" s="2414" t="s">
        <v>964</v>
      </c>
      <c r="E2043" s="2403">
        <v>22957</v>
      </c>
      <c r="F2043" s="1919">
        <v>26165</v>
      </c>
      <c r="G2043" s="1918">
        <v>10548</v>
      </c>
      <c r="H2043" s="2311">
        <f t="shared" si="148"/>
        <v>0.40313395757691572</v>
      </c>
      <c r="J2043" s="1702"/>
    </row>
    <row r="2044" spans="1:10" s="1906" customFormat="1" ht="16.5" customHeight="1">
      <c r="A2044" s="1923"/>
      <c r="B2044" s="2014"/>
      <c r="C2044" s="2406" t="s">
        <v>458</v>
      </c>
      <c r="D2044" s="2414" t="s">
        <v>962</v>
      </c>
      <c r="E2044" s="2403">
        <v>14000</v>
      </c>
      <c r="F2044" s="1919">
        <v>15521</v>
      </c>
      <c r="G2044" s="1918">
        <v>8649</v>
      </c>
      <c r="H2044" s="2311">
        <f t="shared" si="148"/>
        <v>0.55724502287223765</v>
      </c>
      <c r="J2044" s="1702"/>
    </row>
    <row r="2045" spans="1:10" ht="16.5" hidden="1" customHeight="1">
      <c r="A2045" s="1836"/>
      <c r="B2045" s="2401"/>
      <c r="C2045" s="2422" t="s">
        <v>477</v>
      </c>
      <c r="D2045" s="2421" t="s">
        <v>962</v>
      </c>
      <c r="E2045" s="2420">
        <v>0</v>
      </c>
      <c r="F2045" s="1850">
        <v>727</v>
      </c>
      <c r="G2045" s="1849">
        <v>0</v>
      </c>
      <c r="H2045" s="2419">
        <f t="shared" si="148"/>
        <v>0</v>
      </c>
    </row>
    <row r="2046" spans="1:10" s="1906" customFormat="1" ht="16.5" customHeight="1">
      <c r="A2046" s="1922"/>
      <c r="B2046" s="2014"/>
      <c r="C2046" s="2418" t="s">
        <v>457</v>
      </c>
      <c r="D2046" s="2416" t="s">
        <v>962</v>
      </c>
      <c r="E2046" s="1919">
        <v>3423</v>
      </c>
      <c r="F2046" s="1919">
        <v>3885</v>
      </c>
      <c r="G2046" s="1918">
        <v>1497</v>
      </c>
      <c r="H2046" s="2311">
        <f t="shared" si="148"/>
        <v>0.3853281853281853</v>
      </c>
      <c r="J2046" s="1702"/>
    </row>
    <row r="2047" spans="1:10" s="1906" customFormat="1" ht="16.5" customHeight="1">
      <c r="A2047" s="1923"/>
      <c r="B2047" s="2014"/>
      <c r="C2047" s="1976" t="s">
        <v>456</v>
      </c>
      <c r="D2047" s="1920" t="s">
        <v>973</v>
      </c>
      <c r="E2047" s="1975">
        <v>253994</v>
      </c>
      <c r="F2047" s="1930">
        <v>250105</v>
      </c>
      <c r="G2047" s="1929">
        <v>153390</v>
      </c>
      <c r="H2047" s="1928">
        <f t="shared" si="148"/>
        <v>0.61330241298654564</v>
      </c>
      <c r="J2047" s="1702"/>
    </row>
    <row r="2048" spans="1:10" s="1906" customFormat="1" ht="16.5" customHeight="1">
      <c r="A2048" s="1922"/>
      <c r="B2048" s="2014"/>
      <c r="C2048" s="2417" t="s">
        <v>455</v>
      </c>
      <c r="D2048" s="2416" t="s">
        <v>973</v>
      </c>
      <c r="E2048" s="1919">
        <v>42349</v>
      </c>
      <c r="F2048" s="1919">
        <v>41622</v>
      </c>
      <c r="G2048" s="1918">
        <v>28610</v>
      </c>
      <c r="H2048" s="2311">
        <f t="shared" si="148"/>
        <v>0.68737686800249864</v>
      </c>
      <c r="J2048" s="1702"/>
    </row>
    <row r="2049" spans="1:10" s="1906" customFormat="1" ht="16.5" hidden="1" customHeight="1">
      <c r="A2049" s="1923"/>
      <c r="B2049" s="2014"/>
      <c r="C2049" s="1976" t="s">
        <v>450</v>
      </c>
      <c r="D2049" s="1920" t="s">
        <v>960</v>
      </c>
      <c r="E2049" s="1975">
        <v>20971</v>
      </c>
      <c r="F2049" s="1919">
        <v>13990</v>
      </c>
      <c r="G2049" s="1918">
        <v>0</v>
      </c>
      <c r="H2049" s="2311">
        <f t="shared" si="148"/>
        <v>0</v>
      </c>
      <c r="J2049" s="1702"/>
    </row>
    <row r="2050" spans="1:10" s="1906" customFormat="1" ht="16.5" hidden="1" customHeight="1">
      <c r="A2050" s="1923"/>
      <c r="B2050" s="2014"/>
      <c r="C2050" s="2406" t="s">
        <v>533</v>
      </c>
      <c r="D2050" s="2414" t="s">
        <v>960</v>
      </c>
      <c r="E2050" s="2403">
        <v>0</v>
      </c>
      <c r="F2050" s="1919"/>
      <c r="G2050" s="1918"/>
      <c r="H2050" s="2311" t="e">
        <f t="shared" si="148"/>
        <v>#DIV/0!</v>
      </c>
      <c r="J2050" s="1702"/>
    </row>
    <row r="2051" spans="1:10" s="1906" customFormat="1" ht="16.5" hidden="1" customHeight="1">
      <c r="A2051" s="1923"/>
      <c r="B2051" s="2014"/>
      <c r="C2051" s="2406" t="s">
        <v>449</v>
      </c>
      <c r="D2051" s="2414" t="s">
        <v>960</v>
      </c>
      <c r="E2051" s="2403">
        <v>2830</v>
      </c>
      <c r="F2051" s="1919">
        <v>1528</v>
      </c>
      <c r="G2051" s="1918">
        <v>0</v>
      </c>
      <c r="H2051" s="2311">
        <f t="shared" si="148"/>
        <v>0</v>
      </c>
      <c r="J2051" s="1702"/>
    </row>
    <row r="2052" spans="1:10" ht="16.5" hidden="1" customHeight="1">
      <c r="A2052" s="1836"/>
      <c r="B2052" s="2401"/>
      <c r="C2052" s="2407" t="s">
        <v>471</v>
      </c>
      <c r="D2052" s="2415" t="s">
        <v>1007</v>
      </c>
      <c r="E2052" s="2398">
        <v>0</v>
      </c>
      <c r="F2052" s="1897"/>
      <c r="G2052" s="1896"/>
      <c r="H2052" s="2354" t="e">
        <f t="shared" si="148"/>
        <v>#DIV/0!</v>
      </c>
    </row>
    <row r="2053" spans="1:10" ht="16.5" hidden="1" customHeight="1">
      <c r="A2053" s="1836"/>
      <c r="B2053" s="2401"/>
      <c r="C2053" s="2407" t="s">
        <v>470</v>
      </c>
      <c r="D2053" s="2415" t="s">
        <v>1007</v>
      </c>
      <c r="E2053" s="2398">
        <v>0</v>
      </c>
      <c r="F2053" s="1897"/>
      <c r="G2053" s="1896"/>
      <c r="H2053" s="2354" t="e">
        <f t="shared" si="148"/>
        <v>#DIV/0!</v>
      </c>
    </row>
    <row r="2054" spans="1:10" ht="16.5" hidden="1" customHeight="1">
      <c r="A2054" s="1836"/>
      <c r="B2054" s="2401"/>
      <c r="C2054" s="2407" t="s">
        <v>448</v>
      </c>
      <c r="D2054" s="2415" t="s">
        <v>1003</v>
      </c>
      <c r="E2054" s="2398">
        <v>0</v>
      </c>
      <c r="F2054" s="1897"/>
      <c r="G2054" s="1896"/>
      <c r="H2054" s="2354" t="e">
        <f t="shared" si="148"/>
        <v>#DIV/0!</v>
      </c>
    </row>
    <row r="2055" spans="1:10" ht="16.5" hidden="1" customHeight="1">
      <c r="A2055" s="1836"/>
      <c r="B2055" s="2401"/>
      <c r="C2055" s="2407" t="s">
        <v>447</v>
      </c>
      <c r="D2055" s="2415" t="s">
        <v>1003</v>
      </c>
      <c r="E2055" s="2398">
        <v>0</v>
      </c>
      <c r="F2055" s="1897"/>
      <c r="G2055" s="1896"/>
      <c r="H2055" s="2354" t="e">
        <f t="shared" ref="H2055:H2086" si="149">G2055/F2055</f>
        <v>#DIV/0!</v>
      </c>
    </row>
    <row r="2056" spans="1:10" ht="16.5" hidden="1" customHeight="1">
      <c r="A2056" s="1836"/>
      <c r="B2056" s="2401"/>
      <c r="C2056" s="2407" t="s">
        <v>514</v>
      </c>
      <c r="D2056" s="2415" t="s">
        <v>1001</v>
      </c>
      <c r="E2056" s="2398">
        <v>0</v>
      </c>
      <c r="F2056" s="1897"/>
      <c r="G2056" s="1896"/>
      <c r="H2056" s="2354" t="e">
        <f t="shared" si="149"/>
        <v>#DIV/0!</v>
      </c>
    </row>
    <row r="2057" spans="1:10" ht="16.5" hidden="1" customHeight="1">
      <c r="A2057" s="1836"/>
      <c r="B2057" s="2401"/>
      <c r="C2057" s="2407" t="s">
        <v>513</v>
      </c>
      <c r="D2057" s="2415" t="s">
        <v>1001</v>
      </c>
      <c r="E2057" s="2398">
        <v>0</v>
      </c>
      <c r="F2057" s="1897"/>
      <c r="G2057" s="1896"/>
      <c r="H2057" s="2354" t="e">
        <f t="shared" si="149"/>
        <v>#DIV/0!</v>
      </c>
    </row>
    <row r="2058" spans="1:10" ht="16.5" hidden="1" customHeight="1">
      <c r="A2058" s="1836"/>
      <c r="B2058" s="2401"/>
      <c r="C2058" s="2407" t="s">
        <v>512</v>
      </c>
      <c r="D2058" s="2415" t="s">
        <v>999</v>
      </c>
      <c r="E2058" s="2398">
        <v>0</v>
      </c>
      <c r="F2058" s="1897"/>
      <c r="G2058" s="1896"/>
      <c r="H2058" s="2354" t="e">
        <f t="shared" si="149"/>
        <v>#DIV/0!</v>
      </c>
    </row>
    <row r="2059" spans="1:10" ht="16.5" hidden="1" customHeight="1">
      <c r="A2059" s="1836"/>
      <c r="B2059" s="2401"/>
      <c r="C2059" s="2407" t="s">
        <v>511</v>
      </c>
      <c r="D2059" s="2415" t="s">
        <v>999</v>
      </c>
      <c r="E2059" s="2398">
        <v>0</v>
      </c>
      <c r="F2059" s="1897"/>
      <c r="G2059" s="1896"/>
      <c r="H2059" s="2354" t="e">
        <f t="shared" si="149"/>
        <v>#DIV/0!</v>
      </c>
    </row>
    <row r="2060" spans="1:10" s="1906" customFormat="1" ht="17.25" customHeight="1">
      <c r="A2060" s="1923"/>
      <c r="B2060" s="2014"/>
      <c r="C2060" s="2406" t="s">
        <v>446</v>
      </c>
      <c r="D2060" s="2414" t="s">
        <v>958</v>
      </c>
      <c r="E2060" s="2403">
        <v>739483</v>
      </c>
      <c r="F2060" s="1919">
        <v>813943</v>
      </c>
      <c r="G2060" s="1918">
        <v>336001</v>
      </c>
      <c r="H2060" s="2311">
        <f t="shared" si="149"/>
        <v>0.41280654787865984</v>
      </c>
      <c r="J2060" s="1702"/>
    </row>
    <row r="2061" spans="1:10" ht="16.5" hidden="1" customHeight="1">
      <c r="A2061" s="1836"/>
      <c r="B2061" s="2401"/>
      <c r="C2061" s="2407" t="s">
        <v>529</v>
      </c>
      <c r="D2061" s="2415" t="s">
        <v>958</v>
      </c>
      <c r="E2061" s="2398">
        <v>0</v>
      </c>
      <c r="F2061" s="1897"/>
      <c r="G2061" s="1896"/>
      <c r="H2061" s="2354" t="e">
        <f t="shared" si="149"/>
        <v>#DIV/0!</v>
      </c>
    </row>
    <row r="2062" spans="1:10" s="1906" customFormat="1" ht="16.5" customHeight="1">
      <c r="A2062" s="1923"/>
      <c r="B2062" s="2014"/>
      <c r="C2062" s="2406" t="s">
        <v>445</v>
      </c>
      <c r="D2062" s="2414" t="s">
        <v>958</v>
      </c>
      <c r="E2062" s="2403">
        <v>99484</v>
      </c>
      <c r="F2062" s="1919">
        <v>100905</v>
      </c>
      <c r="G2062" s="1918">
        <v>62671</v>
      </c>
      <c r="H2062" s="2311">
        <f t="shared" si="149"/>
        <v>0.62108914325355535</v>
      </c>
      <c r="J2062" s="1702"/>
    </row>
    <row r="2063" spans="1:10" s="1906" customFormat="1" ht="16.5" hidden="1" customHeight="1">
      <c r="A2063" s="1923"/>
      <c r="B2063" s="2014"/>
      <c r="C2063" s="2408" t="s">
        <v>444</v>
      </c>
      <c r="D2063" s="2413" t="s">
        <v>997</v>
      </c>
      <c r="E2063" s="2403">
        <v>280</v>
      </c>
      <c r="F2063" s="1919">
        <v>280</v>
      </c>
      <c r="G2063" s="1918">
        <v>0</v>
      </c>
      <c r="H2063" s="2311">
        <f t="shared" si="149"/>
        <v>0</v>
      </c>
      <c r="J2063" s="1702"/>
    </row>
    <row r="2064" spans="1:10" ht="16.5" hidden="1" customHeight="1">
      <c r="A2064" s="1836"/>
      <c r="B2064" s="2401"/>
      <c r="C2064" s="2410" t="s">
        <v>443</v>
      </c>
      <c r="D2064" s="2412" t="s">
        <v>997</v>
      </c>
      <c r="E2064" s="2398">
        <v>0</v>
      </c>
      <c r="F2064" s="1897"/>
      <c r="G2064" s="1896"/>
      <c r="H2064" s="2354" t="e">
        <f t="shared" si="149"/>
        <v>#DIV/0!</v>
      </c>
    </row>
    <row r="2065" spans="1:10" ht="16.5" hidden="1" customHeight="1">
      <c r="A2065" s="1836"/>
      <c r="B2065" s="2401"/>
      <c r="C2065" s="2410" t="s">
        <v>527</v>
      </c>
      <c r="D2065" s="2412" t="s">
        <v>1119</v>
      </c>
      <c r="E2065" s="2398">
        <v>0</v>
      </c>
      <c r="F2065" s="1897"/>
      <c r="G2065" s="1896"/>
      <c r="H2065" s="2354" t="e">
        <f t="shared" si="149"/>
        <v>#DIV/0!</v>
      </c>
    </row>
    <row r="2066" spans="1:10" ht="16.5" hidden="1" customHeight="1">
      <c r="A2066" s="1836"/>
      <c r="B2066" s="2401"/>
      <c r="C2066" s="2410" t="s">
        <v>526</v>
      </c>
      <c r="D2066" s="2411" t="s">
        <v>1119</v>
      </c>
      <c r="E2066" s="2398">
        <v>0</v>
      </c>
      <c r="F2066" s="1897"/>
      <c r="G2066" s="1896"/>
      <c r="H2066" s="2354" t="e">
        <f t="shared" si="149"/>
        <v>#DIV/0!</v>
      </c>
    </row>
    <row r="2067" spans="1:10" ht="16.5" hidden="1" customHeight="1">
      <c r="A2067" s="1836"/>
      <c r="B2067" s="2401"/>
      <c r="C2067" s="2410" t="s">
        <v>492</v>
      </c>
      <c r="D2067" s="2175" t="s">
        <v>995</v>
      </c>
      <c r="E2067" s="2398">
        <v>0</v>
      </c>
      <c r="F2067" s="1897"/>
      <c r="G2067" s="1896"/>
      <c r="H2067" s="2354" t="e">
        <f t="shared" si="149"/>
        <v>#DIV/0!</v>
      </c>
    </row>
    <row r="2068" spans="1:10" ht="16.5" hidden="1" customHeight="1">
      <c r="A2068" s="1836"/>
      <c r="B2068" s="2401"/>
      <c r="C2068" s="2410" t="s">
        <v>491</v>
      </c>
      <c r="D2068" s="2175" t="s">
        <v>995</v>
      </c>
      <c r="E2068" s="2398">
        <v>0</v>
      </c>
      <c r="F2068" s="1897"/>
      <c r="G2068" s="1896"/>
      <c r="H2068" s="2354" t="e">
        <f t="shared" si="149"/>
        <v>#DIV/0!</v>
      </c>
    </row>
    <row r="2069" spans="1:10" ht="16.5" hidden="1" customHeight="1">
      <c r="A2069" s="1836"/>
      <c r="B2069" s="2401"/>
      <c r="C2069" s="2410" t="s">
        <v>510</v>
      </c>
      <c r="D2069" s="2409" t="s">
        <v>993</v>
      </c>
      <c r="E2069" s="2398">
        <v>0</v>
      </c>
      <c r="F2069" s="1897"/>
      <c r="G2069" s="1896"/>
      <c r="H2069" s="2354" t="e">
        <f t="shared" si="149"/>
        <v>#DIV/0!</v>
      </c>
    </row>
    <row r="2070" spans="1:10" ht="16.5" hidden="1" customHeight="1">
      <c r="A2070" s="1836"/>
      <c r="B2070" s="2401"/>
      <c r="C2070" s="2410" t="s">
        <v>509</v>
      </c>
      <c r="D2070" s="2409" t="s">
        <v>993</v>
      </c>
      <c r="E2070" s="2398">
        <v>0</v>
      </c>
      <c r="F2070" s="1897"/>
      <c r="G2070" s="1896"/>
      <c r="H2070" s="2354" t="e">
        <f t="shared" si="149"/>
        <v>#DIV/0!</v>
      </c>
    </row>
    <row r="2071" spans="1:10" s="1906" customFormat="1" ht="16.5" customHeight="1">
      <c r="A2071" s="1923"/>
      <c r="B2071" s="2014"/>
      <c r="C2071" s="2408" t="s">
        <v>467</v>
      </c>
      <c r="D2071" s="2384" t="s">
        <v>991</v>
      </c>
      <c r="E2071" s="2403">
        <v>1508</v>
      </c>
      <c r="F2071" s="1919">
        <v>2906</v>
      </c>
      <c r="G2071" s="1918">
        <v>6742</v>
      </c>
      <c r="H2071" s="2311">
        <f t="shared" si="149"/>
        <v>2.320027529249828</v>
      </c>
      <c r="J2071" s="1702"/>
    </row>
    <row r="2072" spans="1:10" ht="16.5" hidden="1" customHeight="1">
      <c r="A2072" s="1836"/>
      <c r="B2072" s="2401"/>
      <c r="C2072" s="2407" t="s">
        <v>524</v>
      </c>
      <c r="D2072" s="1820" t="s">
        <v>991</v>
      </c>
      <c r="E2072" s="2398">
        <v>0</v>
      </c>
      <c r="F2072" s="1897"/>
      <c r="G2072" s="1896"/>
      <c r="H2072" s="2354" t="e">
        <f t="shared" si="149"/>
        <v>#DIV/0!</v>
      </c>
    </row>
    <row r="2073" spans="1:10" s="1906" customFormat="1" ht="16.5" customHeight="1">
      <c r="A2073" s="1923"/>
      <c r="B2073" s="2014"/>
      <c r="C2073" s="2406" t="s">
        <v>466</v>
      </c>
      <c r="D2073" s="1920" t="s">
        <v>991</v>
      </c>
      <c r="E2073" s="2403">
        <v>0</v>
      </c>
      <c r="F2073" s="1919">
        <v>262</v>
      </c>
      <c r="G2073" s="1918">
        <v>1258</v>
      </c>
      <c r="H2073" s="2311">
        <f t="shared" si="149"/>
        <v>4.8015267175572518</v>
      </c>
      <c r="J2073" s="1702"/>
    </row>
    <row r="2074" spans="1:10" s="1906" customFormat="1" ht="16.5" hidden="1" customHeight="1">
      <c r="A2074" s="1923"/>
      <c r="B2074" s="2014"/>
      <c r="C2074" s="2406" t="s">
        <v>575</v>
      </c>
      <c r="D2074" s="1920" t="s">
        <v>989</v>
      </c>
      <c r="E2074" s="2403">
        <v>0</v>
      </c>
      <c r="F2074" s="1919">
        <v>7698</v>
      </c>
      <c r="G2074" s="1918">
        <v>0</v>
      </c>
      <c r="H2074" s="2311">
        <f t="shared" si="149"/>
        <v>0</v>
      </c>
      <c r="J2074" s="1702"/>
    </row>
    <row r="2075" spans="1:10" s="1906" customFormat="1" ht="16.5" hidden="1" customHeight="1">
      <c r="A2075" s="1923"/>
      <c r="B2075" s="2014"/>
      <c r="C2075" s="2406" t="s">
        <v>574</v>
      </c>
      <c r="D2075" s="1920" t="s">
        <v>989</v>
      </c>
      <c r="E2075" s="2403">
        <v>0</v>
      </c>
      <c r="F2075" s="1919">
        <v>1359</v>
      </c>
      <c r="G2075" s="1918">
        <v>0</v>
      </c>
      <c r="H2075" s="2311">
        <f t="shared" si="149"/>
        <v>0</v>
      </c>
      <c r="J2075" s="1702"/>
    </row>
    <row r="2076" spans="1:10" s="1906" customFormat="1" ht="16.5" customHeight="1">
      <c r="A2076" s="1923"/>
      <c r="B2076" s="2014"/>
      <c r="C2076" s="2405" t="s">
        <v>490</v>
      </c>
      <c r="D2076" s="2063" t="s">
        <v>985</v>
      </c>
      <c r="E2076" s="2403">
        <v>5335</v>
      </c>
      <c r="F2076" s="1919">
        <v>5329</v>
      </c>
      <c r="G2076" s="1918">
        <v>6456</v>
      </c>
      <c r="H2076" s="2311">
        <f t="shared" si="149"/>
        <v>1.2114843310189529</v>
      </c>
      <c r="J2076" s="1702"/>
    </row>
    <row r="2077" spans="1:10" s="1906" customFormat="1" ht="16.5" customHeight="1">
      <c r="A2077" s="1923"/>
      <c r="B2077" s="2014"/>
      <c r="C2077" s="2404" t="s">
        <v>489</v>
      </c>
      <c r="D2077" s="2063" t="s">
        <v>985</v>
      </c>
      <c r="E2077" s="2403">
        <v>995</v>
      </c>
      <c r="F2077" s="1919">
        <v>994</v>
      </c>
      <c r="G2077" s="1918">
        <v>1204</v>
      </c>
      <c r="H2077" s="2311">
        <f t="shared" si="149"/>
        <v>1.2112676056338028</v>
      </c>
      <c r="J2077" s="1702"/>
    </row>
    <row r="2078" spans="1:10" ht="16.5" hidden="1" customHeight="1">
      <c r="A2078" s="1836"/>
      <c r="B2078" s="2401"/>
      <c r="C2078" s="2402" t="s">
        <v>1094</v>
      </c>
      <c r="D2078" s="2171" t="s">
        <v>983</v>
      </c>
      <c r="E2078" s="2398">
        <v>0</v>
      </c>
      <c r="F2078" s="1897"/>
      <c r="G2078" s="1896"/>
      <c r="H2078" s="2354" t="e">
        <f t="shared" si="149"/>
        <v>#DIV/0!</v>
      </c>
    </row>
    <row r="2079" spans="1:10" ht="16.5" hidden="1" customHeight="1">
      <c r="A2079" s="1836"/>
      <c r="B2079" s="2401"/>
      <c r="C2079" s="2402" t="s">
        <v>1138</v>
      </c>
      <c r="D2079" s="2171" t="s">
        <v>983</v>
      </c>
      <c r="E2079" s="2398">
        <v>0</v>
      </c>
      <c r="F2079" s="1897"/>
      <c r="G2079" s="1896"/>
      <c r="H2079" s="2354" t="e">
        <f t="shared" si="149"/>
        <v>#DIV/0!</v>
      </c>
    </row>
    <row r="2080" spans="1:10" ht="16.5" hidden="1" customHeight="1">
      <c r="A2080" s="1836"/>
      <c r="B2080" s="2401"/>
      <c r="C2080" s="2402" t="s">
        <v>1093</v>
      </c>
      <c r="D2080" s="2171" t="s">
        <v>1092</v>
      </c>
      <c r="E2080" s="2398">
        <v>0</v>
      </c>
      <c r="F2080" s="1897"/>
      <c r="G2080" s="1896"/>
      <c r="H2080" s="2354" t="e">
        <f t="shared" si="149"/>
        <v>#DIV/0!</v>
      </c>
    </row>
    <row r="2081" spans="1:10" ht="16.5" hidden="1" customHeight="1">
      <c r="A2081" s="1836"/>
      <c r="B2081" s="2401"/>
      <c r="C2081" s="2402" t="s">
        <v>487</v>
      </c>
      <c r="D2081" s="2171" t="s">
        <v>1092</v>
      </c>
      <c r="E2081" s="2398">
        <v>0</v>
      </c>
      <c r="F2081" s="1897"/>
      <c r="G2081" s="1896"/>
      <c r="H2081" s="2354" t="e">
        <f t="shared" si="149"/>
        <v>#DIV/0!</v>
      </c>
    </row>
    <row r="2082" spans="1:10" ht="16.5" hidden="1" customHeight="1">
      <c r="A2082" s="1836"/>
      <c r="B2082" s="2401"/>
      <c r="C2082" s="2400" t="s">
        <v>488</v>
      </c>
      <c r="D2082" s="2399" t="s">
        <v>1137</v>
      </c>
      <c r="E2082" s="2398">
        <v>0</v>
      </c>
      <c r="F2082" s="1897"/>
      <c r="G2082" s="1896"/>
      <c r="H2082" s="2354" t="e">
        <f t="shared" si="149"/>
        <v>#DIV/0!</v>
      </c>
    </row>
    <row r="2083" spans="1:10" ht="16.5" hidden="1" customHeight="1">
      <c r="A2083" s="1836"/>
      <c r="B2083" s="2401"/>
      <c r="C2083" s="2400" t="s">
        <v>486</v>
      </c>
      <c r="D2083" s="2399" t="s">
        <v>981</v>
      </c>
      <c r="E2083" s="2398">
        <v>0</v>
      </c>
      <c r="F2083" s="1897"/>
      <c r="G2083" s="1896"/>
      <c r="H2083" s="2354" t="e">
        <f t="shared" si="149"/>
        <v>#DIV/0!</v>
      </c>
    </row>
    <row r="2084" spans="1:10" ht="16.5" hidden="1" customHeight="1">
      <c r="A2084" s="1836"/>
      <c r="B2084" s="2401"/>
      <c r="C2084" s="2400" t="s">
        <v>485</v>
      </c>
      <c r="D2084" s="2399" t="s">
        <v>981</v>
      </c>
      <c r="E2084" s="2398">
        <v>0</v>
      </c>
      <c r="F2084" s="1897"/>
      <c r="G2084" s="1896"/>
      <c r="H2084" s="2354" t="e">
        <f t="shared" si="149"/>
        <v>#DIV/0!</v>
      </c>
    </row>
    <row r="2085" spans="1:10" s="1906" customFormat="1" ht="16.5" customHeight="1">
      <c r="A2085" s="1923"/>
      <c r="B2085" s="2014"/>
      <c r="C2085" s="1989" t="s">
        <v>454</v>
      </c>
      <c r="D2085" s="2397" t="s">
        <v>1011</v>
      </c>
      <c r="E2085" s="2396">
        <v>8270</v>
      </c>
      <c r="F2085" s="1919">
        <v>8258</v>
      </c>
      <c r="G2085" s="1918">
        <v>3984</v>
      </c>
      <c r="H2085" s="2311">
        <f t="shared" si="149"/>
        <v>0.48244126907241464</v>
      </c>
      <c r="J2085" s="1702"/>
    </row>
    <row r="2086" spans="1:10" s="1906" customFormat="1" ht="16.5" customHeight="1" thickBot="1">
      <c r="A2086" s="1913"/>
      <c r="B2086" s="2379"/>
      <c r="C2086" s="2395" t="s">
        <v>453</v>
      </c>
      <c r="D2086" s="2394" t="s">
        <v>1011</v>
      </c>
      <c r="E2086" s="1916">
        <v>1561</v>
      </c>
      <c r="F2086" s="1916">
        <v>1610</v>
      </c>
      <c r="G2086" s="1915">
        <v>624</v>
      </c>
      <c r="H2086" s="2311">
        <f t="shared" si="149"/>
        <v>0.38757763975155279</v>
      </c>
      <c r="J2086" s="1702"/>
    </row>
    <row r="2087" spans="1:10" ht="16.5" hidden="1" customHeight="1" thickBot="1">
      <c r="A2087" s="2393"/>
      <c r="B2087" s="2392"/>
      <c r="C2087" s="2391"/>
      <c r="D2087" s="2390"/>
      <c r="E2087" s="2389"/>
      <c r="F2087" s="2388"/>
      <c r="G2087" s="2387"/>
      <c r="H2087" s="2190"/>
    </row>
    <row r="2088" spans="1:10" s="1906" customFormat="1" ht="16.5" hidden="1" customHeight="1">
      <c r="A2088" s="1954"/>
      <c r="B2088" s="2022"/>
      <c r="C2088" s="4142" t="s">
        <v>941</v>
      </c>
      <c r="D2088" s="4142"/>
      <c r="E2088" s="2386">
        <f>SUM(E2089)</f>
        <v>371544</v>
      </c>
      <c r="F2088" s="2386">
        <f>SUM(F2089)</f>
        <v>229819</v>
      </c>
      <c r="G2088" s="2007">
        <f>SUM(G2089)</f>
        <v>0</v>
      </c>
      <c r="H2088" s="2051">
        <f t="shared" ref="H2088:H2122" si="150">G2088/F2088</f>
        <v>0</v>
      </c>
      <c r="J2088" s="1702"/>
    </row>
    <row r="2089" spans="1:10" s="1906" customFormat="1" ht="16.5" hidden="1" customHeight="1">
      <c r="A2089" s="1923"/>
      <c r="B2089" s="2014"/>
      <c r="C2089" s="4245" t="s">
        <v>1126</v>
      </c>
      <c r="D2089" s="4245"/>
      <c r="E2089" s="1919">
        <f>SUM(E2091:E2095)</f>
        <v>371544</v>
      </c>
      <c r="F2089" s="1919">
        <f>SUM(F2091:F2095)</f>
        <v>229819</v>
      </c>
      <c r="G2089" s="1918">
        <f>SUM(G2091:G2095)</f>
        <v>0</v>
      </c>
      <c r="H2089" s="2311">
        <f t="shared" si="150"/>
        <v>0</v>
      </c>
      <c r="J2089" s="1702"/>
    </row>
    <row r="2090" spans="1:10" s="1906" customFormat="1" ht="55.5" hidden="1" customHeight="1">
      <c r="A2090" s="1923"/>
      <c r="B2090" s="2014"/>
      <c r="C2090" s="2383" t="s">
        <v>566</v>
      </c>
      <c r="D2090" s="1943" t="s">
        <v>1134</v>
      </c>
      <c r="E2090" s="1919">
        <v>0</v>
      </c>
      <c r="F2090" s="1919"/>
      <c r="G2090" s="1918"/>
      <c r="H2090" s="2311" t="e">
        <f t="shared" si="150"/>
        <v>#DIV/0!</v>
      </c>
      <c r="J2090" s="1702"/>
    </row>
    <row r="2091" spans="1:10" s="1906" customFormat="1" ht="55.5" hidden="1" customHeight="1">
      <c r="A2091" s="1923"/>
      <c r="B2091" s="2014"/>
      <c r="C2091" s="2385" t="s">
        <v>540</v>
      </c>
      <c r="D2091" s="2384" t="s">
        <v>1136</v>
      </c>
      <c r="E2091" s="1919">
        <v>259097</v>
      </c>
      <c r="F2091" s="1919">
        <v>146641</v>
      </c>
      <c r="G2091" s="1918">
        <v>0</v>
      </c>
      <c r="H2091" s="2250">
        <f t="shared" si="150"/>
        <v>0</v>
      </c>
      <c r="J2091" s="1702" t="s">
        <v>1025</v>
      </c>
    </row>
    <row r="2092" spans="1:10" s="1906" customFormat="1" ht="55.5" hidden="1" customHeight="1">
      <c r="A2092" s="1923"/>
      <c r="B2092" s="2014"/>
      <c r="C2092" s="2383" t="s">
        <v>123</v>
      </c>
      <c r="D2092" s="1973" t="s">
        <v>1133</v>
      </c>
      <c r="E2092" s="1919">
        <v>0</v>
      </c>
      <c r="F2092" s="1919"/>
      <c r="G2092" s="1918"/>
      <c r="H2092" s="2250" t="e">
        <f t="shared" si="150"/>
        <v>#DIV/0!</v>
      </c>
      <c r="J2092" s="1702"/>
    </row>
    <row r="2093" spans="1:10" s="1906" customFormat="1" ht="63" hidden="1" customHeight="1">
      <c r="A2093" s="1923"/>
      <c r="B2093" s="2014"/>
      <c r="C2093" s="2382" t="s">
        <v>186</v>
      </c>
      <c r="D2093" s="2381" t="s">
        <v>1026</v>
      </c>
      <c r="E2093" s="1919">
        <v>112447</v>
      </c>
      <c r="F2093" s="1919">
        <v>69392</v>
      </c>
      <c r="G2093" s="1918">
        <v>0</v>
      </c>
      <c r="H2093" s="2250">
        <f t="shared" si="150"/>
        <v>0</v>
      </c>
      <c r="J2093" s="1702" t="s">
        <v>1025</v>
      </c>
    </row>
    <row r="2094" spans="1:10" s="1906" customFormat="1" ht="60.75" hidden="1" customHeight="1">
      <c r="A2094" s="1923"/>
      <c r="B2094" s="2014"/>
      <c r="C2094" s="2013" t="s">
        <v>302</v>
      </c>
      <c r="D2094" s="2380" t="s">
        <v>1135</v>
      </c>
      <c r="E2094" s="1919">
        <v>0</v>
      </c>
      <c r="F2094" s="1919">
        <v>3056</v>
      </c>
      <c r="G2094" s="1918">
        <v>0</v>
      </c>
      <c r="H2094" s="2250">
        <f t="shared" si="150"/>
        <v>0</v>
      </c>
      <c r="J2094" s="1702"/>
    </row>
    <row r="2095" spans="1:10" s="1906" customFormat="1" ht="34.5" hidden="1" customHeight="1" thickBot="1">
      <c r="A2095" s="1913"/>
      <c r="B2095" s="2379"/>
      <c r="C2095" s="2286" t="s">
        <v>303</v>
      </c>
      <c r="D2095" s="2285" t="s">
        <v>1022</v>
      </c>
      <c r="E2095" s="1916">
        <v>0</v>
      </c>
      <c r="F2095" s="1916">
        <v>10730</v>
      </c>
      <c r="G2095" s="1915">
        <v>0</v>
      </c>
      <c r="H2095" s="1907">
        <f t="shared" si="150"/>
        <v>0</v>
      </c>
      <c r="J2095" s="1702"/>
    </row>
    <row r="2096" spans="1:10" ht="24.75" hidden="1" customHeight="1" thickBot="1">
      <c r="A2096" s="1836"/>
      <c r="B2096" s="1822"/>
      <c r="C2096" s="4246" t="s">
        <v>1024</v>
      </c>
      <c r="D2096" s="4247"/>
      <c r="E2096" s="1904">
        <v>0</v>
      </c>
      <c r="F2096" s="1904">
        <v>0</v>
      </c>
      <c r="G2096" s="1903">
        <v>0</v>
      </c>
      <c r="H2096" s="1902" t="e">
        <f t="shared" si="150"/>
        <v>#DIV/0!</v>
      </c>
    </row>
    <row r="2097" spans="1:10" ht="56.25" hidden="1" customHeight="1" thickBot="1">
      <c r="A2097" s="1836"/>
      <c r="B2097" s="1822"/>
      <c r="C2097" s="2378" t="s">
        <v>566</v>
      </c>
      <c r="D2097" s="2377" t="s">
        <v>1134</v>
      </c>
      <c r="E2097" s="1897">
        <v>0</v>
      </c>
      <c r="F2097" s="1897"/>
      <c r="G2097" s="1896"/>
      <c r="H2097" s="2376" t="e">
        <f t="shared" si="150"/>
        <v>#DIV/0!</v>
      </c>
    </row>
    <row r="2098" spans="1:10" ht="57" hidden="1" customHeight="1" thickBot="1">
      <c r="A2098" s="1836"/>
      <c r="B2098" s="1822"/>
      <c r="C2098" s="2375" t="s">
        <v>540</v>
      </c>
      <c r="D2098" s="2374" t="s">
        <v>1134</v>
      </c>
      <c r="E2098" s="1897">
        <v>0</v>
      </c>
      <c r="F2098" s="1897"/>
      <c r="G2098" s="1896"/>
      <c r="H2098" s="2354" t="e">
        <f t="shared" si="150"/>
        <v>#DIV/0!</v>
      </c>
    </row>
    <row r="2099" spans="1:10" ht="59.25" hidden="1" customHeight="1" thickBot="1">
      <c r="A2099" s="1836"/>
      <c r="B2099" s="1822"/>
      <c r="C2099" s="2373" t="s">
        <v>123</v>
      </c>
      <c r="D2099" s="2372" t="s">
        <v>1133</v>
      </c>
      <c r="E2099" s="1897">
        <v>0</v>
      </c>
      <c r="F2099" s="1897"/>
      <c r="G2099" s="1896"/>
      <c r="H2099" s="2354" t="e">
        <f t="shared" si="150"/>
        <v>#DIV/0!</v>
      </c>
    </row>
    <row r="2100" spans="1:10" ht="63.75" hidden="1" customHeight="1" thickBot="1">
      <c r="A2100" s="1836"/>
      <c r="B2100" s="1822"/>
      <c r="C2100" s="2371" t="s">
        <v>186</v>
      </c>
      <c r="D2100" s="2173" t="s">
        <v>1133</v>
      </c>
      <c r="E2100" s="1897">
        <v>0</v>
      </c>
      <c r="F2100" s="1897"/>
      <c r="G2100" s="1896"/>
      <c r="H2100" s="2370" t="e">
        <f t="shared" si="150"/>
        <v>#DIV/0!</v>
      </c>
    </row>
    <row r="2101" spans="1:10" s="1906" customFormat="1" ht="17.100000000000001" customHeight="1" thickBot="1">
      <c r="A2101" s="2074" t="s">
        <v>824</v>
      </c>
      <c r="B2101" s="2073"/>
      <c r="C2101" s="2369"/>
      <c r="D2101" s="2368" t="s">
        <v>1132</v>
      </c>
      <c r="E2101" s="2367">
        <f>SUM(E2102,E2113,E2204)</f>
        <v>40566484</v>
      </c>
      <c r="F2101" s="2367">
        <f>SUM(F2102,F2113,F2204)</f>
        <v>51620327</v>
      </c>
      <c r="G2101" s="2366">
        <f>SUM(G2102,G2113,G2204)</f>
        <v>41058013</v>
      </c>
      <c r="H2101" s="2068">
        <f t="shared" si="150"/>
        <v>0.79538459723434141</v>
      </c>
      <c r="J2101" s="1702"/>
    </row>
    <row r="2102" spans="1:10" s="1906" customFormat="1" ht="17.100000000000001" customHeight="1" thickBot="1">
      <c r="A2102" s="1923"/>
      <c r="B2102" s="1971" t="s">
        <v>823</v>
      </c>
      <c r="C2102" s="1985"/>
      <c r="D2102" s="2365" t="s">
        <v>351</v>
      </c>
      <c r="E2102" s="1968">
        <f t="shared" ref="E2102:G2103" si="151">SUM(E2103)</f>
        <v>2961118</v>
      </c>
      <c r="F2102" s="1968">
        <f t="shared" si="151"/>
        <v>3244960</v>
      </c>
      <c r="G2102" s="1967">
        <f t="shared" si="151"/>
        <v>3412553</v>
      </c>
      <c r="H2102" s="1966">
        <f t="shared" si="150"/>
        <v>1.0516471697648044</v>
      </c>
      <c r="J2102" s="1702"/>
    </row>
    <row r="2103" spans="1:10" s="1906" customFormat="1" ht="17.100000000000001" customHeight="1">
      <c r="A2103" s="1923"/>
      <c r="B2103" s="4226"/>
      <c r="C2103" s="4248" t="s">
        <v>944</v>
      </c>
      <c r="D2103" s="4249"/>
      <c r="E2103" s="1927">
        <f t="shared" si="151"/>
        <v>2961118</v>
      </c>
      <c r="F2103" s="1927">
        <f t="shared" si="151"/>
        <v>3244960</v>
      </c>
      <c r="G2103" s="1926">
        <f t="shared" si="151"/>
        <v>3412553</v>
      </c>
      <c r="H2103" s="1963">
        <f t="shared" si="150"/>
        <v>1.0516471697648044</v>
      </c>
      <c r="J2103" s="1702"/>
    </row>
    <row r="2104" spans="1:10" s="1906" customFormat="1" ht="17.100000000000001" customHeight="1">
      <c r="A2104" s="1923"/>
      <c r="B2104" s="4226"/>
      <c r="C2104" s="4250" t="s">
        <v>943</v>
      </c>
      <c r="D2104" s="4251"/>
      <c r="E2104" s="1919">
        <f>SUM(E2105:E2107)</f>
        <v>2961118</v>
      </c>
      <c r="F2104" s="1919">
        <f>SUM(F2105:F2107)</f>
        <v>3244960</v>
      </c>
      <c r="G2104" s="1918">
        <f>SUM(G2105:G2107)</f>
        <v>3412553</v>
      </c>
      <c r="H2104" s="2311">
        <f t="shared" si="150"/>
        <v>1.0516471697648044</v>
      </c>
      <c r="J2104" s="1702" t="s">
        <v>1086</v>
      </c>
    </row>
    <row r="2105" spans="1:10" s="1906" customFormat="1" ht="53.25" customHeight="1">
      <c r="A2105" s="1923"/>
      <c r="B2105" s="4226"/>
      <c r="C2105" s="2364" t="s">
        <v>112</v>
      </c>
      <c r="D2105" s="2363" t="s">
        <v>956</v>
      </c>
      <c r="E2105" s="1919">
        <v>800000</v>
      </c>
      <c r="F2105" s="1919">
        <v>800000</v>
      </c>
      <c r="G2105" s="1918">
        <v>880000</v>
      </c>
      <c r="H2105" s="2311">
        <f t="shared" si="150"/>
        <v>1.1000000000000001</v>
      </c>
      <c r="J2105" s="1702"/>
    </row>
    <row r="2106" spans="1:10" s="1906" customFormat="1" ht="27.75" customHeight="1">
      <c r="A2106" s="1923"/>
      <c r="B2106" s="1922"/>
      <c r="C2106" s="2364" t="s">
        <v>1131</v>
      </c>
      <c r="D2106" s="2363" t="s">
        <v>1130</v>
      </c>
      <c r="E2106" s="1919">
        <v>111112</v>
      </c>
      <c r="F2106" s="1919">
        <v>122223</v>
      </c>
      <c r="G2106" s="1918">
        <v>140047</v>
      </c>
      <c r="H2106" s="2311">
        <f t="shared" si="150"/>
        <v>1.1458317992521865</v>
      </c>
      <c r="J2106" s="1702"/>
    </row>
    <row r="2107" spans="1:10" s="1906" customFormat="1" ht="28.5" customHeight="1" thickBot="1">
      <c r="A2107" s="1923"/>
      <c r="B2107" s="1922"/>
      <c r="C2107" s="2362" t="s">
        <v>1129</v>
      </c>
      <c r="D2107" s="2361" t="s">
        <v>1128</v>
      </c>
      <c r="E2107" s="1919">
        <v>2050006</v>
      </c>
      <c r="F2107" s="1919">
        <v>2322737</v>
      </c>
      <c r="G2107" s="1918">
        <v>2392506</v>
      </c>
      <c r="H2107" s="2311">
        <f t="shared" si="150"/>
        <v>1.0300374084539059</v>
      </c>
      <c r="J2107" s="1702"/>
    </row>
    <row r="2108" spans="1:10" ht="54" hidden="1" customHeight="1" thickBot="1">
      <c r="A2108" s="1836"/>
      <c r="B2108" s="1822"/>
      <c r="C2108" s="2360" t="s">
        <v>47</v>
      </c>
      <c r="D2108" s="2359" t="s">
        <v>1127</v>
      </c>
      <c r="E2108" s="1897">
        <v>0</v>
      </c>
      <c r="F2108" s="1897"/>
      <c r="G2108" s="1896"/>
      <c r="H2108" s="2354" t="e">
        <f t="shared" si="150"/>
        <v>#DIV/0!</v>
      </c>
    </row>
    <row r="2109" spans="1:10" ht="17.25" hidden="1" customHeight="1" thickBot="1">
      <c r="A2109" s="1836"/>
      <c r="B2109" s="1822"/>
      <c r="C2109" s="2358"/>
      <c r="D2109" s="2357"/>
      <c r="E2109" s="1897"/>
      <c r="F2109" s="1897"/>
      <c r="G2109" s="1896"/>
      <c r="H2109" s="2354" t="e">
        <f t="shared" si="150"/>
        <v>#DIV/0!</v>
      </c>
    </row>
    <row r="2110" spans="1:10" ht="17.25" hidden="1" customHeight="1" thickBot="1">
      <c r="A2110" s="1836"/>
      <c r="B2110" s="1822"/>
      <c r="C2110" s="4252" t="s">
        <v>941</v>
      </c>
      <c r="D2110" s="4253"/>
      <c r="E2110" s="2356">
        <v>0</v>
      </c>
      <c r="F2110" s="1897"/>
      <c r="G2110" s="1896"/>
      <c r="H2110" s="2354" t="e">
        <f t="shared" si="150"/>
        <v>#DIV/0!</v>
      </c>
    </row>
    <row r="2111" spans="1:10" ht="18" hidden="1" customHeight="1" thickBot="1">
      <c r="A2111" s="1836"/>
      <c r="B2111" s="1822"/>
      <c r="C2111" s="4254" t="s">
        <v>1126</v>
      </c>
      <c r="D2111" s="4255"/>
      <c r="E2111" s="2355">
        <v>0</v>
      </c>
      <c r="F2111" s="1897"/>
      <c r="G2111" s="1896"/>
      <c r="H2111" s="2354" t="e">
        <f t="shared" si="150"/>
        <v>#DIV/0!</v>
      </c>
    </row>
    <row r="2112" spans="1:10" ht="52.5" hidden="1" customHeight="1" thickBot="1">
      <c r="A2112" s="1836"/>
      <c r="B2112" s="1822"/>
      <c r="C2112" s="2353" t="s">
        <v>947</v>
      </c>
      <c r="D2112" s="2352" t="s">
        <v>1125</v>
      </c>
      <c r="E2112" s="2351">
        <v>0</v>
      </c>
      <c r="F2112" s="2350"/>
      <c r="G2112" s="1896"/>
      <c r="H2112" s="2349" t="e">
        <f t="shared" si="150"/>
        <v>#DIV/0!</v>
      </c>
    </row>
    <row r="2113" spans="1:10" s="1906" customFormat="1" ht="17.100000000000001" customHeight="1" thickBot="1">
      <c r="A2113" s="1923"/>
      <c r="B2113" s="1971" t="s">
        <v>502</v>
      </c>
      <c r="C2113" s="1970"/>
      <c r="D2113" s="1969" t="s">
        <v>1124</v>
      </c>
      <c r="E2113" s="1968">
        <f>SUM(E2114,E2194)</f>
        <v>31637385</v>
      </c>
      <c r="F2113" s="1968">
        <f>SUM(F2114,F2194)</f>
        <v>33136349</v>
      </c>
      <c r="G2113" s="1967">
        <f>SUM(G2114,G2194)</f>
        <v>35201367</v>
      </c>
      <c r="H2113" s="1966">
        <f t="shared" si="150"/>
        <v>1.062318814906253</v>
      </c>
      <c r="J2113" s="1702"/>
    </row>
    <row r="2114" spans="1:10" s="1906" customFormat="1" ht="17.100000000000001" customHeight="1">
      <c r="A2114" s="1923"/>
      <c r="B2114" s="1922"/>
      <c r="C2114" s="4130" t="s">
        <v>944</v>
      </c>
      <c r="D2114" s="4130"/>
      <c r="E2114" s="2348">
        <f>SUM(E2115,E2145,E2149)</f>
        <v>31439385</v>
      </c>
      <c r="F2114" s="2348">
        <f>SUM(F2115,F2145,F2149)</f>
        <v>32938349</v>
      </c>
      <c r="G2114" s="1926">
        <f>SUM(G2115,G2145,G2149)</f>
        <v>34783567</v>
      </c>
      <c r="H2114" s="1963">
        <f t="shared" si="150"/>
        <v>1.0560203548757103</v>
      </c>
      <c r="J2114" s="1702"/>
    </row>
    <row r="2115" spans="1:10" s="1906" customFormat="1" ht="17.100000000000001" customHeight="1">
      <c r="A2115" s="1923"/>
      <c r="B2115" s="1922"/>
      <c r="C2115" s="4256" t="s">
        <v>967</v>
      </c>
      <c r="D2115" s="4256"/>
      <c r="E2115" s="2284">
        <f>SUM(E2116,E2124)</f>
        <v>11439037</v>
      </c>
      <c r="F2115" s="2284">
        <f>SUM(F2116,F2124)</f>
        <v>12993627</v>
      </c>
      <c r="G2115" s="2292">
        <f>SUM(G2116,G2124)</f>
        <v>13670887</v>
      </c>
      <c r="H2115" s="2311">
        <f t="shared" si="150"/>
        <v>1.0521224751179943</v>
      </c>
      <c r="J2115" s="1702"/>
    </row>
    <row r="2116" spans="1:10" s="1906" customFormat="1" ht="17.100000000000001" customHeight="1">
      <c r="A2116" s="1923"/>
      <c r="B2116" s="1922"/>
      <c r="C2116" s="4236" t="s">
        <v>966</v>
      </c>
      <c r="D2116" s="4236"/>
      <c r="E2116" s="2339">
        <f>SUM(E2117:E2122)</f>
        <v>9273471</v>
      </c>
      <c r="F2116" s="2339">
        <f>SUM(F2117:F2122)</f>
        <v>10794265</v>
      </c>
      <c r="G2116" s="2338">
        <f>SUM(G2117:G2122)</f>
        <v>11194299</v>
      </c>
      <c r="H2116" s="2337">
        <f t="shared" si="150"/>
        <v>1.0370598646596132</v>
      </c>
      <c r="J2116" s="1702" t="s">
        <v>1121</v>
      </c>
    </row>
    <row r="2117" spans="1:10" s="1906" customFormat="1" ht="17.100000000000001" customHeight="1">
      <c r="A2117" s="1923"/>
      <c r="B2117" s="1922"/>
      <c r="C2117" s="1976" t="s">
        <v>1016</v>
      </c>
      <c r="D2117" s="1920" t="s">
        <v>1015</v>
      </c>
      <c r="E2117" s="2284">
        <v>7192075</v>
      </c>
      <c r="F2117" s="1919">
        <v>8492075</v>
      </c>
      <c r="G2117" s="2296">
        <v>8664738</v>
      </c>
      <c r="H2117" s="2311">
        <f t="shared" si="150"/>
        <v>1.0203322509516226</v>
      </c>
      <c r="J2117" s="1702"/>
    </row>
    <row r="2118" spans="1:10" s="1906" customFormat="1" ht="17.100000000000001" customHeight="1">
      <c r="A2118" s="1922"/>
      <c r="B2118" s="1922"/>
      <c r="C2118" s="2336" t="s">
        <v>1014</v>
      </c>
      <c r="D2118" s="2335" t="s">
        <v>1013</v>
      </c>
      <c r="E2118" s="2347">
        <v>571915</v>
      </c>
      <c r="F2118" s="2346">
        <v>538119</v>
      </c>
      <c r="G2118" s="2344">
        <v>686648</v>
      </c>
      <c r="H2118" s="2345">
        <f t="shared" si="150"/>
        <v>1.2760151564988413</v>
      </c>
      <c r="J2118" s="1702"/>
    </row>
    <row r="2119" spans="1:10" s="1906" customFormat="1" ht="17.100000000000001" customHeight="1">
      <c r="A2119" s="1923"/>
      <c r="B2119" s="1922"/>
      <c r="C2119" s="1976" t="s">
        <v>965</v>
      </c>
      <c r="D2119" s="1920" t="s">
        <v>964</v>
      </c>
      <c r="E2119" s="2301">
        <v>1292991</v>
      </c>
      <c r="F2119" s="1930">
        <v>1513591</v>
      </c>
      <c r="G2119" s="2344">
        <v>1568854</v>
      </c>
      <c r="H2119" s="1928">
        <f t="shared" si="150"/>
        <v>1.0365111843291881</v>
      </c>
      <c r="J2119" s="1702"/>
    </row>
    <row r="2120" spans="1:10" s="1906" customFormat="1" ht="15.75" customHeight="1">
      <c r="A2120" s="1923"/>
      <c r="B2120" s="1922"/>
      <c r="C2120" s="2343" t="s">
        <v>963</v>
      </c>
      <c r="D2120" s="2342" t="s">
        <v>962</v>
      </c>
      <c r="E2120" s="2284">
        <v>161942</v>
      </c>
      <c r="F2120" s="1919">
        <v>188242</v>
      </c>
      <c r="G2120" s="2296">
        <v>202229</v>
      </c>
      <c r="H2120" s="2311">
        <f t="shared" si="150"/>
        <v>1.0743032904452778</v>
      </c>
      <c r="J2120" s="1702"/>
    </row>
    <row r="2121" spans="1:10" s="1906" customFormat="1" ht="17.100000000000001" customHeight="1">
      <c r="A2121" s="1923"/>
      <c r="B2121" s="1922"/>
      <c r="C2121" s="2343" t="s">
        <v>974</v>
      </c>
      <c r="D2121" s="2342" t="s">
        <v>973</v>
      </c>
      <c r="E2121" s="2284">
        <v>10860</v>
      </c>
      <c r="F2121" s="1919">
        <v>10860</v>
      </c>
      <c r="G2121" s="2296">
        <v>17260</v>
      </c>
      <c r="H2121" s="2311">
        <f t="shared" si="150"/>
        <v>1.5893186003683242</v>
      </c>
      <c r="J2121" s="1702"/>
    </row>
    <row r="2122" spans="1:10" s="1906" customFormat="1" ht="17.100000000000001" customHeight="1">
      <c r="A2122" s="1923"/>
      <c r="B2122" s="1922"/>
      <c r="C2122" s="2341" t="s">
        <v>1012</v>
      </c>
      <c r="D2122" s="2340" t="s">
        <v>1011</v>
      </c>
      <c r="E2122" s="2284">
        <v>43688</v>
      </c>
      <c r="F2122" s="1919">
        <v>51378</v>
      </c>
      <c r="G2122" s="2296">
        <v>54570</v>
      </c>
      <c r="H2122" s="2311">
        <f t="shared" si="150"/>
        <v>1.0621277589629803</v>
      </c>
      <c r="J2122" s="1702"/>
    </row>
    <row r="2123" spans="1:10" s="1906" customFormat="1" ht="17.100000000000001" customHeight="1">
      <c r="A2123" s="1923"/>
      <c r="B2123" s="1922"/>
      <c r="C2123" s="1996"/>
      <c r="D2123" s="1996"/>
      <c r="E2123" s="2284"/>
      <c r="F2123" s="1919"/>
      <c r="G2123" s="1918"/>
      <c r="H2123" s="2311"/>
      <c r="J2123" s="1702"/>
    </row>
    <row r="2124" spans="1:10" s="1906" customFormat="1" ht="17.100000000000001" customHeight="1">
      <c r="A2124" s="1923"/>
      <c r="B2124" s="1922"/>
      <c r="C2124" s="4237" t="s">
        <v>961</v>
      </c>
      <c r="D2124" s="4237"/>
      <c r="E2124" s="2339">
        <f>SUM(E2125:E2143)</f>
        <v>2165566</v>
      </c>
      <c r="F2124" s="2339">
        <f>SUM(F2125:F2143)</f>
        <v>2199362</v>
      </c>
      <c r="G2124" s="2338">
        <f>SUM(G2125:G2143)</f>
        <v>2476588</v>
      </c>
      <c r="H2124" s="2337">
        <f t="shared" ref="H2124:H2143" si="152">G2124/F2124</f>
        <v>1.126048372209759</v>
      </c>
      <c r="J2124" s="1702" t="s">
        <v>1121</v>
      </c>
    </row>
    <row r="2125" spans="1:10" s="1906" customFormat="1" ht="17.100000000000001" customHeight="1">
      <c r="A2125" s="1923"/>
      <c r="B2125" s="1922"/>
      <c r="C2125" s="2326" t="s">
        <v>1048</v>
      </c>
      <c r="D2125" s="2334" t="s">
        <v>1047</v>
      </c>
      <c r="E2125" s="2284">
        <v>6000</v>
      </c>
      <c r="F2125" s="1919">
        <v>6000</v>
      </c>
      <c r="G2125" s="1918">
        <v>6000</v>
      </c>
      <c r="H2125" s="2311">
        <f t="shared" si="152"/>
        <v>1</v>
      </c>
      <c r="J2125" s="1702"/>
    </row>
    <row r="2126" spans="1:10" s="1906" customFormat="1" ht="17.100000000000001" customHeight="1">
      <c r="A2126" s="1923"/>
      <c r="B2126" s="1922"/>
      <c r="C2126" s="2326" t="s">
        <v>613</v>
      </c>
      <c r="D2126" s="2334" t="s">
        <v>960</v>
      </c>
      <c r="E2126" s="2284">
        <v>289750</v>
      </c>
      <c r="F2126" s="1919">
        <v>289750</v>
      </c>
      <c r="G2126" s="1918">
        <v>330680</v>
      </c>
      <c r="H2126" s="2311">
        <f t="shared" si="152"/>
        <v>1.1412597066436583</v>
      </c>
      <c r="J2126" s="1702"/>
    </row>
    <row r="2127" spans="1:10" s="1906" customFormat="1" ht="17.100000000000001" customHeight="1">
      <c r="A2127" s="1923"/>
      <c r="B2127" s="1922"/>
      <c r="C2127" s="2326" t="s">
        <v>1008</v>
      </c>
      <c r="D2127" s="2334" t="s">
        <v>1007</v>
      </c>
      <c r="E2127" s="2284">
        <v>6000</v>
      </c>
      <c r="F2127" s="1919">
        <v>6000</v>
      </c>
      <c r="G2127" s="1918">
        <v>6000</v>
      </c>
      <c r="H2127" s="2311">
        <f t="shared" si="152"/>
        <v>1</v>
      </c>
      <c r="J2127" s="1702"/>
    </row>
    <row r="2128" spans="1:10" s="1906" customFormat="1" ht="17.100000000000001" customHeight="1">
      <c r="A2128" s="1923"/>
      <c r="B2128" s="1922"/>
      <c r="C2128" s="2326" t="s">
        <v>1004</v>
      </c>
      <c r="D2128" s="2334" t="s">
        <v>1003</v>
      </c>
      <c r="E2128" s="2284">
        <v>138200</v>
      </c>
      <c r="F2128" s="1919">
        <v>203273</v>
      </c>
      <c r="G2128" s="1918">
        <v>343000</v>
      </c>
      <c r="H2128" s="2311">
        <f t="shared" si="152"/>
        <v>1.6873859292675368</v>
      </c>
      <c r="J2128" s="1702"/>
    </row>
    <row r="2129" spans="1:10" s="1906" customFormat="1" ht="17.100000000000001" customHeight="1">
      <c r="A2129" s="1923"/>
      <c r="B2129" s="1922"/>
      <c r="C2129" s="2326" t="s">
        <v>1002</v>
      </c>
      <c r="D2129" s="2334" t="s">
        <v>1001</v>
      </c>
      <c r="E2129" s="2284">
        <v>71500</v>
      </c>
      <c r="F2129" s="1919">
        <v>71500</v>
      </c>
      <c r="G2129" s="1918">
        <v>86000</v>
      </c>
      <c r="H2129" s="2311">
        <f t="shared" si="152"/>
        <v>1.2027972027972027</v>
      </c>
      <c r="J2129" s="1702"/>
    </row>
    <row r="2130" spans="1:10" s="1906" customFormat="1" ht="17.100000000000001" customHeight="1">
      <c r="A2130" s="1923"/>
      <c r="B2130" s="1922"/>
      <c r="C2130" s="2326" t="s">
        <v>1000</v>
      </c>
      <c r="D2130" s="2334" t="s">
        <v>999</v>
      </c>
      <c r="E2130" s="2284">
        <v>7517</v>
      </c>
      <c r="F2130" s="1919">
        <v>7517</v>
      </c>
      <c r="G2130" s="1918">
        <v>15989</v>
      </c>
      <c r="H2130" s="2311">
        <f t="shared" si="152"/>
        <v>2.1270453638419582</v>
      </c>
      <c r="J2130" s="1702"/>
    </row>
    <row r="2131" spans="1:10" s="1906" customFormat="1" ht="17.100000000000001" customHeight="1">
      <c r="A2131" s="1923"/>
      <c r="B2131" s="1922"/>
      <c r="C2131" s="2326" t="s">
        <v>959</v>
      </c>
      <c r="D2131" s="2334" t="s">
        <v>958</v>
      </c>
      <c r="E2131" s="2284">
        <v>731462</v>
      </c>
      <c r="F2131" s="1919">
        <v>727779</v>
      </c>
      <c r="G2131" s="1918">
        <v>768819</v>
      </c>
      <c r="H2131" s="2311">
        <f t="shared" si="152"/>
        <v>1.056390744992642</v>
      </c>
      <c r="J2131" s="1702"/>
    </row>
    <row r="2132" spans="1:10" s="1906" customFormat="1" ht="16.5" customHeight="1">
      <c r="A2132" s="1923"/>
      <c r="B2132" s="1922"/>
      <c r="C2132" s="2326" t="s">
        <v>998</v>
      </c>
      <c r="D2132" s="2334" t="s">
        <v>997</v>
      </c>
      <c r="E2132" s="2284">
        <v>44400</v>
      </c>
      <c r="F2132" s="1919">
        <v>44400</v>
      </c>
      <c r="G2132" s="1918">
        <v>37800</v>
      </c>
      <c r="H2132" s="2311">
        <f t="shared" si="152"/>
        <v>0.85135135135135132</v>
      </c>
      <c r="J2132" s="1702"/>
    </row>
    <row r="2133" spans="1:10" s="1906" customFormat="1" ht="16.5" customHeight="1">
      <c r="A2133" s="1922"/>
      <c r="B2133" s="1922"/>
      <c r="C2133" s="2336" t="s">
        <v>1123</v>
      </c>
      <c r="D2133" s="2335" t="s">
        <v>1119</v>
      </c>
      <c r="E2133" s="2284">
        <v>500</v>
      </c>
      <c r="F2133" s="1919">
        <v>500</v>
      </c>
      <c r="G2133" s="1918">
        <v>1000</v>
      </c>
      <c r="H2133" s="2311">
        <f t="shared" si="152"/>
        <v>2</v>
      </c>
      <c r="J2133" s="1702"/>
    </row>
    <row r="2134" spans="1:10" s="1906" customFormat="1" ht="16.5" customHeight="1">
      <c r="A2134" s="1923"/>
      <c r="B2134" s="1922"/>
      <c r="C2134" s="1976" t="s">
        <v>996</v>
      </c>
      <c r="D2134" s="1920" t="s">
        <v>995</v>
      </c>
      <c r="E2134" s="2301">
        <v>7000</v>
      </c>
      <c r="F2134" s="1919">
        <v>7000</v>
      </c>
      <c r="G2134" s="1918">
        <v>2500</v>
      </c>
      <c r="H2134" s="2311">
        <f t="shared" si="152"/>
        <v>0.35714285714285715</v>
      </c>
      <c r="J2134" s="1702"/>
    </row>
    <row r="2135" spans="1:10" s="1906" customFormat="1" ht="25.5" customHeight="1">
      <c r="A2135" s="1922"/>
      <c r="B2135" s="1922"/>
      <c r="C2135" s="2336" t="s">
        <v>994</v>
      </c>
      <c r="D2135" s="2335" t="s">
        <v>993</v>
      </c>
      <c r="E2135" s="2284">
        <v>113700</v>
      </c>
      <c r="F2135" s="1919">
        <v>81200</v>
      </c>
      <c r="G2135" s="1918">
        <v>92200</v>
      </c>
      <c r="H2135" s="2311">
        <f t="shared" si="152"/>
        <v>1.1354679802955665</v>
      </c>
      <c r="J2135" s="1702"/>
    </row>
    <row r="2136" spans="1:10" s="1906" customFormat="1" ht="17.100000000000001" customHeight="1">
      <c r="A2136" s="1923"/>
      <c r="B2136" s="1922"/>
      <c r="C2136" s="2013" t="s">
        <v>992</v>
      </c>
      <c r="D2136" s="1992" t="s">
        <v>991</v>
      </c>
      <c r="E2136" s="2301">
        <v>35200</v>
      </c>
      <c r="F2136" s="1930">
        <v>38883</v>
      </c>
      <c r="G2136" s="1929">
        <v>39400</v>
      </c>
      <c r="H2136" s="1928">
        <f t="shared" si="152"/>
        <v>1.0132962991538719</v>
      </c>
      <c r="J2136" s="1702"/>
    </row>
    <row r="2137" spans="1:10" s="1906" customFormat="1" ht="17.100000000000001" customHeight="1">
      <c r="A2137" s="1923"/>
      <c r="B2137" s="1922"/>
      <c r="C2137" s="1976" t="s">
        <v>990</v>
      </c>
      <c r="D2137" s="1920" t="s">
        <v>989</v>
      </c>
      <c r="E2137" s="2284">
        <v>1000</v>
      </c>
      <c r="F2137" s="1919">
        <v>1000</v>
      </c>
      <c r="G2137" s="1918">
        <v>1000</v>
      </c>
      <c r="H2137" s="2311">
        <f t="shared" si="152"/>
        <v>1</v>
      </c>
      <c r="J2137" s="1702"/>
    </row>
    <row r="2138" spans="1:10" s="1906" customFormat="1" ht="17.100000000000001" customHeight="1">
      <c r="A2138" s="1923"/>
      <c r="B2138" s="1922"/>
      <c r="C2138" s="2326" t="s">
        <v>988</v>
      </c>
      <c r="D2138" s="2334" t="s">
        <v>987</v>
      </c>
      <c r="E2138" s="2284">
        <v>27200</v>
      </c>
      <c r="F2138" s="1919">
        <v>27200</v>
      </c>
      <c r="G2138" s="1918">
        <v>25100</v>
      </c>
      <c r="H2138" s="2311">
        <f t="shared" si="152"/>
        <v>0.92279411764705888</v>
      </c>
      <c r="J2138" s="1702"/>
    </row>
    <row r="2139" spans="1:10" s="1906" customFormat="1" ht="17.100000000000001" customHeight="1">
      <c r="A2139" s="1923"/>
      <c r="B2139" s="1922"/>
      <c r="C2139" s="2326" t="s">
        <v>986</v>
      </c>
      <c r="D2139" s="2334" t="s">
        <v>985</v>
      </c>
      <c r="E2139" s="2284">
        <v>501077</v>
      </c>
      <c r="F2139" s="1919">
        <v>509873</v>
      </c>
      <c r="G2139" s="1918">
        <v>528000</v>
      </c>
      <c r="H2139" s="2311">
        <f t="shared" si="152"/>
        <v>1.0355519903976089</v>
      </c>
      <c r="J2139" s="1702"/>
    </row>
    <row r="2140" spans="1:10" s="1906" customFormat="1" ht="17.100000000000001" customHeight="1">
      <c r="A2140" s="1923"/>
      <c r="B2140" s="1922"/>
      <c r="C2140" s="2326" t="s">
        <v>984</v>
      </c>
      <c r="D2140" s="2334" t="s">
        <v>983</v>
      </c>
      <c r="E2140" s="2284">
        <v>27000</v>
      </c>
      <c r="F2140" s="1919">
        <v>26715</v>
      </c>
      <c r="G2140" s="1918">
        <v>28000</v>
      </c>
      <c r="H2140" s="2311">
        <f t="shared" si="152"/>
        <v>1.0481003181733108</v>
      </c>
      <c r="J2140" s="1702"/>
    </row>
    <row r="2141" spans="1:10" s="1906" customFormat="1" ht="17.100000000000001" customHeight="1">
      <c r="A2141" s="1923"/>
      <c r="B2141" s="1922"/>
      <c r="C2141" s="2326" t="s">
        <v>1089</v>
      </c>
      <c r="D2141" s="2334" t="s">
        <v>1092</v>
      </c>
      <c r="E2141" s="2284">
        <v>92760</v>
      </c>
      <c r="F2141" s="1919">
        <v>85472</v>
      </c>
      <c r="G2141" s="1918">
        <v>93000</v>
      </c>
      <c r="H2141" s="2311">
        <f t="shared" si="152"/>
        <v>1.0880756271059528</v>
      </c>
      <c r="J2141" s="1702"/>
    </row>
    <row r="2142" spans="1:10" s="1906" customFormat="1" ht="17.100000000000001" customHeight="1">
      <c r="A2142" s="1923"/>
      <c r="B2142" s="1922"/>
      <c r="C2142" s="2326" t="s">
        <v>1122</v>
      </c>
      <c r="D2142" s="2334" t="s">
        <v>1118</v>
      </c>
      <c r="E2142" s="2284">
        <v>4500</v>
      </c>
      <c r="F2142" s="1919">
        <v>4500</v>
      </c>
      <c r="G2142" s="1918">
        <v>4500</v>
      </c>
      <c r="H2142" s="2311">
        <f t="shared" si="152"/>
        <v>1</v>
      </c>
      <c r="J2142" s="1702"/>
    </row>
    <row r="2143" spans="1:10" s="1906" customFormat="1" ht="17.25" customHeight="1">
      <c r="A2143" s="1923"/>
      <c r="B2143" s="1922"/>
      <c r="C2143" s="2326" t="s">
        <v>982</v>
      </c>
      <c r="D2143" s="2334" t="s">
        <v>981</v>
      </c>
      <c r="E2143" s="2284">
        <v>60800</v>
      </c>
      <c r="F2143" s="1919">
        <v>60800</v>
      </c>
      <c r="G2143" s="1918">
        <v>67600</v>
      </c>
      <c r="H2143" s="2250">
        <f t="shared" si="152"/>
        <v>1.111842105263158</v>
      </c>
      <c r="J2143" s="1702"/>
    </row>
    <row r="2144" spans="1:10" s="1906" customFormat="1" ht="17.25" customHeight="1">
      <c r="A2144" s="1923"/>
      <c r="B2144" s="1922"/>
      <c r="C2144" s="2333"/>
      <c r="D2144" s="2333"/>
      <c r="E2144" s="2284"/>
      <c r="F2144" s="1919"/>
      <c r="G2144" s="1918"/>
      <c r="H2144" s="2250"/>
      <c r="J2144" s="1702"/>
    </row>
    <row r="2145" spans="1:10" s="1906" customFormat="1" ht="17.100000000000001" customHeight="1">
      <c r="A2145" s="1923"/>
      <c r="B2145" s="1922"/>
      <c r="C2145" s="4238" t="s">
        <v>952</v>
      </c>
      <c r="D2145" s="4238"/>
      <c r="E2145" s="2284">
        <f>SUM(E2146:E2147)</f>
        <v>20630</v>
      </c>
      <c r="F2145" s="2284">
        <f>SUM(F2146:F2147)</f>
        <v>20630</v>
      </c>
      <c r="G2145" s="2292">
        <f>SUM(G2146:G2147)</f>
        <v>18780</v>
      </c>
      <c r="H2145" s="2250">
        <f>G2145/F2145</f>
        <v>0.9103247697527872</v>
      </c>
      <c r="J2145" s="1702" t="s">
        <v>1121</v>
      </c>
    </row>
    <row r="2146" spans="1:10" s="1906" customFormat="1" ht="17.100000000000001" customHeight="1">
      <c r="A2146" s="1923"/>
      <c r="B2146" s="1922"/>
      <c r="C2146" s="2332" t="s">
        <v>980</v>
      </c>
      <c r="D2146" s="2331" t="s">
        <v>979</v>
      </c>
      <c r="E2146" s="2284">
        <v>19500</v>
      </c>
      <c r="F2146" s="1919">
        <v>19500</v>
      </c>
      <c r="G2146" s="1918">
        <v>17500</v>
      </c>
      <c r="H2146" s="2250">
        <f>G2146/F2146</f>
        <v>0.89743589743589747</v>
      </c>
      <c r="J2146" s="1702"/>
    </row>
    <row r="2147" spans="1:10" s="1906" customFormat="1" ht="17.100000000000001" customHeight="1">
      <c r="A2147" s="1923"/>
      <c r="B2147" s="1922"/>
      <c r="C2147" s="2274" t="s">
        <v>978</v>
      </c>
      <c r="D2147" s="2279" t="s">
        <v>977</v>
      </c>
      <c r="E2147" s="2284">
        <v>1130</v>
      </c>
      <c r="F2147" s="1919">
        <v>1130</v>
      </c>
      <c r="G2147" s="1918">
        <v>1280</v>
      </c>
      <c r="H2147" s="2250">
        <f>G2147/F2147</f>
        <v>1.1327433628318584</v>
      </c>
      <c r="J2147" s="1702"/>
    </row>
    <row r="2148" spans="1:10" s="1906" customFormat="1" ht="15" customHeight="1">
      <c r="A2148" s="1922"/>
      <c r="B2148" s="1922"/>
      <c r="C2148" s="2330"/>
      <c r="D2148" s="2329"/>
      <c r="E2148" s="2284"/>
      <c r="F2148" s="1919"/>
      <c r="G2148" s="1918"/>
      <c r="H2148" s="2250"/>
      <c r="J2148" s="1702"/>
    </row>
    <row r="2149" spans="1:10" s="1906" customFormat="1" ht="17.100000000000001" customHeight="1">
      <c r="A2149" s="1923"/>
      <c r="B2149" s="1922"/>
      <c r="C2149" s="4239" t="s">
        <v>976</v>
      </c>
      <c r="D2149" s="4240"/>
      <c r="E2149" s="2301">
        <f>SUM(E2150:E2192)</f>
        <v>19979718</v>
      </c>
      <c r="F2149" s="2301">
        <f>SUM(F2150:F2192)</f>
        <v>19924092</v>
      </c>
      <c r="G2149" s="2328">
        <f>SUM(G2150:G2192)</f>
        <v>21093900</v>
      </c>
      <c r="H2149" s="1928">
        <f t="shared" ref="H2149:H2178" si="153">G2149/F2149</f>
        <v>1.0587132402319765</v>
      </c>
      <c r="J2149" s="1702" t="s">
        <v>1120</v>
      </c>
    </row>
    <row r="2150" spans="1:10" s="1906" customFormat="1" ht="17.100000000000001" hidden="1" customHeight="1">
      <c r="A2150" s="1923"/>
      <c r="B2150" s="1922"/>
      <c r="C2150" s="1983" t="s">
        <v>501</v>
      </c>
      <c r="D2150" s="2327" t="s">
        <v>1085</v>
      </c>
      <c r="E2150" s="2284">
        <v>0</v>
      </c>
      <c r="F2150" s="1919">
        <v>374</v>
      </c>
      <c r="G2150" s="1918">
        <v>0</v>
      </c>
      <c r="H2150" s="2250">
        <f t="shared" si="153"/>
        <v>0</v>
      </c>
      <c r="J2150" s="1702"/>
    </row>
    <row r="2151" spans="1:10" s="1906" customFormat="1" ht="16.5" customHeight="1" thickBot="1">
      <c r="A2151" s="1913"/>
      <c r="B2151" s="1912"/>
      <c r="C2151" s="3730" t="s">
        <v>534</v>
      </c>
      <c r="D2151" s="3713" t="s">
        <v>979</v>
      </c>
      <c r="E2151" s="3731">
        <v>17800</v>
      </c>
      <c r="F2151" s="3715">
        <v>17800</v>
      </c>
      <c r="G2151" s="2322">
        <f>11900+5900</f>
        <v>17800</v>
      </c>
      <c r="H2151" s="2250">
        <f t="shared" si="153"/>
        <v>1</v>
      </c>
      <c r="J2151" s="1702"/>
    </row>
    <row r="2152" spans="1:10" s="1906" customFormat="1" ht="16.5" customHeight="1">
      <c r="A2152" s="1923"/>
      <c r="B2152" s="1922"/>
      <c r="C2152" s="2013" t="s">
        <v>515</v>
      </c>
      <c r="D2152" s="3728" t="s">
        <v>979</v>
      </c>
      <c r="E2152" s="3029">
        <v>3200</v>
      </c>
      <c r="F2152" s="2496">
        <v>3200</v>
      </c>
      <c r="G2152" s="3729">
        <f>2100+1100</f>
        <v>3200</v>
      </c>
      <c r="H2152" s="2311">
        <f t="shared" si="153"/>
        <v>1</v>
      </c>
      <c r="J2152" s="1702"/>
    </row>
    <row r="2153" spans="1:10" s="1906" customFormat="1" ht="17.100000000000001" customHeight="1" thickBot="1">
      <c r="A2153" s="1913"/>
      <c r="B2153" s="1912"/>
      <c r="C2153" s="2325" t="s">
        <v>479</v>
      </c>
      <c r="D2153" s="2324" t="s">
        <v>1015</v>
      </c>
      <c r="E2153" s="2323">
        <v>12246974</v>
      </c>
      <c r="F2153" s="1916">
        <v>12246974</v>
      </c>
      <c r="G2153" s="2322">
        <f>10092576+2547015</f>
        <v>12639591</v>
      </c>
      <c r="H2153" s="1907">
        <f t="shared" si="153"/>
        <v>1.0320582863979297</v>
      </c>
      <c r="J2153" s="1702"/>
    </row>
    <row r="2154" spans="1:10" s="1906" customFormat="1" ht="17.100000000000001" customHeight="1">
      <c r="A2154" s="1954"/>
      <c r="B2154" s="2321"/>
      <c r="C2154" s="2263" t="s">
        <v>461</v>
      </c>
      <c r="D2154" s="2320" t="s">
        <v>1015</v>
      </c>
      <c r="E2154" s="2319">
        <v>2185969</v>
      </c>
      <c r="F2154" s="2261">
        <v>2185969</v>
      </c>
      <c r="G2154" s="2318">
        <f>1781043+475072</f>
        <v>2256115</v>
      </c>
      <c r="H2154" s="1950">
        <f t="shared" si="153"/>
        <v>1.0320892016309471</v>
      </c>
      <c r="J2154" s="1702"/>
    </row>
    <row r="2155" spans="1:10" s="1906" customFormat="1" ht="17.100000000000001" customHeight="1">
      <c r="A2155" s="1923"/>
      <c r="B2155" s="1922"/>
      <c r="C2155" s="2291" t="s">
        <v>536</v>
      </c>
      <c r="D2155" s="2290" t="s">
        <v>1013</v>
      </c>
      <c r="E2155" s="2284">
        <v>802291</v>
      </c>
      <c r="F2155" s="1919">
        <v>775710</v>
      </c>
      <c r="G2155" s="2296">
        <f>674442+170161</f>
        <v>844603</v>
      </c>
      <c r="H2155" s="2250">
        <f t="shared" si="153"/>
        <v>1.0888128295368114</v>
      </c>
      <c r="J2155" s="1702"/>
    </row>
    <row r="2156" spans="1:10" s="1906" customFormat="1" ht="17.100000000000001" customHeight="1">
      <c r="A2156" s="1923"/>
      <c r="B2156" s="1922"/>
      <c r="C2156" s="2291" t="s">
        <v>493</v>
      </c>
      <c r="D2156" s="2290" t="s">
        <v>1013</v>
      </c>
      <c r="E2156" s="2284">
        <v>143275</v>
      </c>
      <c r="F2156" s="1919">
        <v>138546</v>
      </c>
      <c r="G2156" s="2296">
        <f>119019+31739</f>
        <v>150758</v>
      </c>
      <c r="H2156" s="2250">
        <f t="shared" si="153"/>
        <v>1.0881440099317194</v>
      </c>
      <c r="J2156" s="1702"/>
    </row>
    <row r="2157" spans="1:10" s="1906" customFormat="1" ht="17.100000000000001" customHeight="1">
      <c r="A2157" s="1923"/>
      <c r="B2157" s="1922"/>
      <c r="C2157" s="2291" t="s">
        <v>478</v>
      </c>
      <c r="D2157" s="2290" t="s">
        <v>964</v>
      </c>
      <c r="E2157" s="2284">
        <v>2243170</v>
      </c>
      <c r="F2157" s="1919">
        <v>2225173</v>
      </c>
      <c r="G2157" s="2296">
        <f>1850851+467083</f>
        <v>2317934</v>
      </c>
      <c r="H2157" s="2250">
        <f t="shared" si="153"/>
        <v>1.0416870957898554</v>
      </c>
      <c r="J2157" s="1702"/>
    </row>
    <row r="2158" spans="1:10" s="1906" customFormat="1" ht="17.100000000000001" customHeight="1">
      <c r="A2158" s="1923"/>
      <c r="B2158" s="1922"/>
      <c r="C2158" s="2291" t="s">
        <v>459</v>
      </c>
      <c r="D2158" s="2290" t="s">
        <v>964</v>
      </c>
      <c r="E2158" s="2284">
        <v>400397</v>
      </c>
      <c r="F2158" s="1919">
        <v>397221</v>
      </c>
      <c r="G2158" s="2296">
        <f>326620+87121</f>
        <v>413741</v>
      </c>
      <c r="H2158" s="2250">
        <f t="shared" si="153"/>
        <v>1.0415889391547779</v>
      </c>
      <c r="J2158" s="1702"/>
    </row>
    <row r="2159" spans="1:10" s="1906" customFormat="1" ht="16.5" customHeight="1">
      <c r="A2159" s="1923"/>
      <c r="B2159" s="1922"/>
      <c r="C2159" s="2291" t="s">
        <v>477</v>
      </c>
      <c r="D2159" s="2290" t="s">
        <v>962</v>
      </c>
      <c r="E2159" s="2284">
        <v>319707</v>
      </c>
      <c r="F2159" s="1919">
        <v>314281</v>
      </c>
      <c r="G2159" s="2296">
        <f>263792+66571</f>
        <v>330363</v>
      </c>
      <c r="H2159" s="2250">
        <f t="shared" si="153"/>
        <v>1.0511707675615134</v>
      </c>
      <c r="J2159" s="1702"/>
    </row>
    <row r="2160" spans="1:10" s="1906" customFormat="1" ht="16.5" customHeight="1">
      <c r="A2160" s="1923"/>
      <c r="B2160" s="1922"/>
      <c r="C2160" s="2291" t="s">
        <v>457</v>
      </c>
      <c r="D2160" s="2290" t="s">
        <v>962</v>
      </c>
      <c r="E2160" s="2284">
        <v>57066</v>
      </c>
      <c r="F2160" s="1919">
        <v>56109</v>
      </c>
      <c r="G2160" s="2296">
        <f>46552+12417</f>
        <v>58969</v>
      </c>
      <c r="H2160" s="2250">
        <f t="shared" si="153"/>
        <v>1.0509722147962002</v>
      </c>
      <c r="J2160" s="1702"/>
    </row>
    <row r="2161" spans="1:10" s="1906" customFormat="1" ht="17.100000000000001" customHeight="1">
      <c r="A2161" s="1923"/>
      <c r="B2161" s="1922"/>
      <c r="C2161" s="2291" t="s">
        <v>535</v>
      </c>
      <c r="D2161" s="2290" t="s">
        <v>973</v>
      </c>
      <c r="E2161" s="2284">
        <v>1700</v>
      </c>
      <c r="F2161" s="1919">
        <v>1700</v>
      </c>
      <c r="G2161" s="2296">
        <f>12750</f>
        <v>12750</v>
      </c>
      <c r="H2161" s="2250">
        <f t="shared" si="153"/>
        <v>7.5</v>
      </c>
      <c r="J2161" s="1702"/>
    </row>
    <row r="2162" spans="1:10" s="1906" customFormat="1" ht="17.100000000000001" customHeight="1">
      <c r="A2162" s="1923"/>
      <c r="B2162" s="1922"/>
      <c r="C2162" s="2291" t="s">
        <v>455</v>
      </c>
      <c r="D2162" s="2290" t="s">
        <v>973</v>
      </c>
      <c r="E2162" s="2284">
        <v>300</v>
      </c>
      <c r="F2162" s="1919">
        <v>300</v>
      </c>
      <c r="G2162" s="2296">
        <v>2250</v>
      </c>
      <c r="H2162" s="2250">
        <f t="shared" si="153"/>
        <v>7.5</v>
      </c>
      <c r="J2162" s="1702"/>
    </row>
    <row r="2163" spans="1:10" s="1906" customFormat="1" ht="17.100000000000001" customHeight="1">
      <c r="A2163" s="1923"/>
      <c r="B2163" s="1922"/>
      <c r="C2163" s="2291" t="s">
        <v>533</v>
      </c>
      <c r="D2163" s="2290" t="s">
        <v>960</v>
      </c>
      <c r="E2163" s="2284">
        <v>266625</v>
      </c>
      <c r="F2163" s="1919">
        <v>253140</v>
      </c>
      <c r="G2163" s="2296">
        <f>209950+62366</f>
        <v>272316</v>
      </c>
      <c r="H2163" s="2250">
        <f t="shared" si="153"/>
        <v>1.0757525479971557</v>
      </c>
      <c r="J2163" s="1702"/>
    </row>
    <row r="2164" spans="1:10" s="1906" customFormat="1" ht="17.100000000000001" customHeight="1">
      <c r="A2164" s="1923"/>
      <c r="B2164" s="1922"/>
      <c r="C2164" s="2291" t="s">
        <v>449</v>
      </c>
      <c r="D2164" s="2290" t="s">
        <v>960</v>
      </c>
      <c r="E2164" s="2284">
        <v>47775</v>
      </c>
      <c r="F2164" s="1919">
        <v>45260</v>
      </c>
      <c r="G2164" s="2296">
        <f>37050+11634</f>
        <v>48684</v>
      </c>
      <c r="H2164" s="2250">
        <f t="shared" si="153"/>
        <v>1.0756517896597437</v>
      </c>
      <c r="J2164" s="1702"/>
    </row>
    <row r="2165" spans="1:10" s="1906" customFormat="1" ht="17.100000000000001" customHeight="1">
      <c r="A2165" s="1923"/>
      <c r="B2165" s="1922"/>
      <c r="C2165" s="2291" t="s">
        <v>532</v>
      </c>
      <c r="D2165" s="2290" t="s">
        <v>1003</v>
      </c>
      <c r="E2165" s="2284">
        <v>158106</v>
      </c>
      <c r="F2165" s="1919">
        <v>241331</v>
      </c>
      <c r="G2165" s="2296">
        <f>314925+76695</f>
        <v>391620</v>
      </c>
      <c r="H2165" s="2250">
        <f t="shared" si="153"/>
        <v>1.622750496206455</v>
      </c>
      <c r="J2165" s="1702"/>
    </row>
    <row r="2166" spans="1:10" s="1906" customFormat="1" ht="17.100000000000001" customHeight="1">
      <c r="A2166" s="1923"/>
      <c r="B2166" s="1922"/>
      <c r="C2166" s="2291" t="s">
        <v>447</v>
      </c>
      <c r="D2166" s="2290" t="s">
        <v>1003</v>
      </c>
      <c r="E2166" s="2284">
        <v>28294</v>
      </c>
      <c r="F2166" s="1919">
        <v>43069</v>
      </c>
      <c r="G2166" s="2296">
        <f>55575+14305</f>
        <v>69880</v>
      </c>
      <c r="H2166" s="2250">
        <f t="shared" si="153"/>
        <v>1.6225127121595579</v>
      </c>
      <c r="J2166" s="1702"/>
    </row>
    <row r="2167" spans="1:10" s="1906" customFormat="1" ht="17.100000000000001" customHeight="1">
      <c r="A2167" s="1923"/>
      <c r="B2167" s="1922"/>
      <c r="C2167" s="2299" t="s">
        <v>531</v>
      </c>
      <c r="D2167" s="2298" t="s">
        <v>1001</v>
      </c>
      <c r="E2167" s="2284">
        <v>54335</v>
      </c>
      <c r="F2167" s="1919">
        <v>54335</v>
      </c>
      <c r="G2167" s="2296">
        <f>41650+11378</f>
        <v>53028</v>
      </c>
      <c r="H2167" s="2250">
        <f t="shared" si="153"/>
        <v>0.97594552314346183</v>
      </c>
      <c r="J2167" s="1702"/>
    </row>
    <row r="2168" spans="1:10" s="1906" customFormat="1" ht="17.100000000000001" customHeight="1">
      <c r="A2168" s="1923"/>
      <c r="B2168" s="1922"/>
      <c r="C2168" s="2299" t="s">
        <v>513</v>
      </c>
      <c r="D2168" s="2298" t="s">
        <v>1001</v>
      </c>
      <c r="E2168" s="2304">
        <v>9665</v>
      </c>
      <c r="F2168" s="2303">
        <v>9665</v>
      </c>
      <c r="G2168" s="2300">
        <f>7350+2122</f>
        <v>9472</v>
      </c>
      <c r="H2168" s="2302">
        <f t="shared" si="153"/>
        <v>0.98003103983445417</v>
      </c>
      <c r="J2168" s="1702"/>
    </row>
    <row r="2169" spans="1:10" s="1906" customFormat="1" ht="17.100000000000001" customHeight="1">
      <c r="A2169" s="1923"/>
      <c r="B2169" s="1922"/>
      <c r="C2169" s="2317" t="s">
        <v>530</v>
      </c>
      <c r="D2169" s="2316" t="s">
        <v>999</v>
      </c>
      <c r="E2169" s="2313">
        <v>9825</v>
      </c>
      <c r="F2169" s="2312">
        <v>9825</v>
      </c>
      <c r="G2169" s="2310">
        <f>14620+2781</f>
        <v>17401</v>
      </c>
      <c r="H2169" s="2311">
        <f t="shared" si="153"/>
        <v>1.7710941475826971</v>
      </c>
      <c r="J2169" s="1702"/>
    </row>
    <row r="2170" spans="1:10" s="1906" customFormat="1" ht="17.100000000000001" customHeight="1">
      <c r="A2170" s="1923"/>
      <c r="B2170" s="1922"/>
      <c r="C2170" s="2315" t="s">
        <v>511</v>
      </c>
      <c r="D2170" s="2314" t="s">
        <v>999</v>
      </c>
      <c r="E2170" s="2313">
        <v>1755</v>
      </c>
      <c r="F2170" s="2312">
        <v>1755</v>
      </c>
      <c r="G2170" s="2310">
        <f>2580+519</f>
        <v>3099</v>
      </c>
      <c r="H2170" s="2311">
        <f t="shared" si="153"/>
        <v>1.7658119658119658</v>
      </c>
      <c r="J2170" s="1702"/>
    </row>
    <row r="2171" spans="1:10" s="1906" customFormat="1" ht="17.100000000000001" customHeight="1">
      <c r="A2171" s="1922"/>
      <c r="B2171" s="1922"/>
      <c r="C2171" s="1976" t="s">
        <v>529</v>
      </c>
      <c r="D2171" s="1920" t="s">
        <v>958</v>
      </c>
      <c r="E2171" s="2301">
        <v>474093</v>
      </c>
      <c r="F2171" s="1930">
        <v>454357</v>
      </c>
      <c r="G2171" s="2310">
        <f>570920+56805</f>
        <v>627725</v>
      </c>
      <c r="H2171" s="1928">
        <f t="shared" si="153"/>
        <v>1.3815677980090546</v>
      </c>
      <c r="J2171" s="1702"/>
    </row>
    <row r="2172" spans="1:10" s="1906" customFormat="1" ht="17.100000000000001" customHeight="1">
      <c r="A2172" s="1923"/>
      <c r="B2172" s="1922"/>
      <c r="C2172" s="2308" t="s">
        <v>445</v>
      </c>
      <c r="D2172" s="2307" t="s">
        <v>958</v>
      </c>
      <c r="E2172" s="2284">
        <v>85007</v>
      </c>
      <c r="F2172" s="1919">
        <v>81609</v>
      </c>
      <c r="G2172" s="2296">
        <f>100750+10595</f>
        <v>111345</v>
      </c>
      <c r="H2172" s="2250">
        <f t="shared" si="153"/>
        <v>1.3643715766643385</v>
      </c>
      <c r="J2172" s="1702"/>
    </row>
    <row r="2173" spans="1:10" s="1906" customFormat="1" ht="16.5" customHeight="1">
      <c r="A2173" s="1923"/>
      <c r="B2173" s="1922"/>
      <c r="C2173" s="2308" t="s">
        <v>528</v>
      </c>
      <c r="D2173" s="2307" t="s">
        <v>997</v>
      </c>
      <c r="E2173" s="2284">
        <v>34807</v>
      </c>
      <c r="F2173" s="1919">
        <v>34807</v>
      </c>
      <c r="G2173" s="2296">
        <f>21250+8428</f>
        <v>29678</v>
      </c>
      <c r="H2173" s="2250">
        <f t="shared" si="153"/>
        <v>0.85264458298618095</v>
      </c>
      <c r="J2173" s="1702"/>
    </row>
    <row r="2174" spans="1:10" s="1906" customFormat="1" ht="16.5" customHeight="1">
      <c r="A2174" s="1923"/>
      <c r="B2174" s="1922"/>
      <c r="C2174" s="2308" t="s">
        <v>443</v>
      </c>
      <c r="D2174" s="2307" t="s">
        <v>997</v>
      </c>
      <c r="E2174" s="2284">
        <v>6193</v>
      </c>
      <c r="F2174" s="1919">
        <v>6193</v>
      </c>
      <c r="G2174" s="2296">
        <f>3750+1572</f>
        <v>5322</v>
      </c>
      <c r="H2174" s="2250">
        <f t="shared" si="153"/>
        <v>0.85935733893105115</v>
      </c>
      <c r="J2174" s="1702"/>
    </row>
    <row r="2175" spans="1:10" s="1906" customFormat="1" ht="16.5" customHeight="1">
      <c r="A2175" s="1923"/>
      <c r="B2175" s="1922"/>
      <c r="C2175" s="2308" t="s">
        <v>527</v>
      </c>
      <c r="D2175" s="2307" t="s">
        <v>1119</v>
      </c>
      <c r="E2175" s="2284">
        <v>595</v>
      </c>
      <c r="F2175" s="1919">
        <v>595</v>
      </c>
      <c r="G2175" s="2296">
        <v>1530</v>
      </c>
      <c r="H2175" s="2250">
        <f t="shared" si="153"/>
        <v>2.5714285714285716</v>
      </c>
      <c r="J2175" s="1702"/>
    </row>
    <row r="2176" spans="1:10" s="1906" customFormat="1" ht="16.5" customHeight="1">
      <c r="A2176" s="1923"/>
      <c r="B2176" s="1922"/>
      <c r="C2176" s="2308" t="s">
        <v>526</v>
      </c>
      <c r="D2176" s="2307" t="s">
        <v>1119</v>
      </c>
      <c r="E2176" s="2284">
        <v>105</v>
      </c>
      <c r="F2176" s="1919">
        <v>105</v>
      </c>
      <c r="G2176" s="2296">
        <v>270</v>
      </c>
      <c r="H2176" s="2250">
        <f t="shared" si="153"/>
        <v>2.5714285714285716</v>
      </c>
      <c r="J2176" s="1702"/>
    </row>
    <row r="2177" spans="1:10" s="1906" customFormat="1" ht="16.5" hidden="1" customHeight="1">
      <c r="A2177" s="1923"/>
      <c r="B2177" s="1922"/>
      <c r="C2177" s="2308" t="s">
        <v>591</v>
      </c>
      <c r="D2177" s="2307" t="s">
        <v>995</v>
      </c>
      <c r="E2177" s="2284">
        <v>0</v>
      </c>
      <c r="F2177" s="1919"/>
      <c r="G2177" s="1918"/>
      <c r="H2177" s="2250" t="e">
        <f t="shared" si="153"/>
        <v>#DIV/0!</v>
      </c>
      <c r="J2177" s="1702"/>
    </row>
    <row r="2178" spans="1:10" s="1906" customFormat="1" ht="16.5" hidden="1" customHeight="1">
      <c r="A2178" s="1923"/>
      <c r="B2178" s="1922"/>
      <c r="C2178" s="2308" t="s">
        <v>491</v>
      </c>
      <c r="D2178" s="2307" t="s">
        <v>995</v>
      </c>
      <c r="E2178" s="2284">
        <v>0</v>
      </c>
      <c r="F2178" s="1919"/>
      <c r="G2178" s="1918"/>
      <c r="H2178" s="2250" t="e">
        <f t="shared" si="153"/>
        <v>#DIV/0!</v>
      </c>
      <c r="J2178" s="1702"/>
    </row>
    <row r="2179" spans="1:10" s="1906" customFormat="1" ht="24" customHeight="1">
      <c r="A2179" s="1923"/>
      <c r="B2179" s="1922"/>
      <c r="C2179" s="2308" t="s">
        <v>525</v>
      </c>
      <c r="D2179" s="2307" t="s">
        <v>993</v>
      </c>
      <c r="E2179" s="2284">
        <v>0</v>
      </c>
      <c r="F2179" s="1919">
        <v>0</v>
      </c>
      <c r="G2179" s="1918">
        <v>61200</v>
      </c>
      <c r="H2179" s="2250"/>
      <c r="J2179" s="1702"/>
    </row>
    <row r="2180" spans="1:10" s="1906" customFormat="1" ht="24.75" customHeight="1">
      <c r="A2180" s="1923"/>
      <c r="B2180" s="1922"/>
      <c r="C2180" s="2308" t="s">
        <v>509</v>
      </c>
      <c r="D2180" s="2307" t="s">
        <v>993</v>
      </c>
      <c r="E2180" s="2284">
        <v>0</v>
      </c>
      <c r="F2180" s="1919">
        <v>0</v>
      </c>
      <c r="G2180" s="1918">
        <v>10800</v>
      </c>
      <c r="H2180" s="2250"/>
      <c r="J2180" s="1702"/>
    </row>
    <row r="2181" spans="1:10" s="1906" customFormat="1" ht="17.100000000000001" customHeight="1">
      <c r="A2181" s="1923"/>
      <c r="B2181" s="1922"/>
      <c r="C2181" s="2308" t="s">
        <v>524</v>
      </c>
      <c r="D2181" s="2307" t="s">
        <v>991</v>
      </c>
      <c r="E2181" s="2284">
        <v>47470</v>
      </c>
      <c r="F2181" s="1919">
        <v>47470</v>
      </c>
      <c r="G2181" s="2296">
        <f>40800+12642</f>
        <v>53442</v>
      </c>
      <c r="H2181" s="2250">
        <f>G2181/F2181</f>
        <v>1.1258057720665684</v>
      </c>
      <c r="J2181" s="1702"/>
    </row>
    <row r="2182" spans="1:10" s="1906" customFormat="1" ht="17.100000000000001" customHeight="1">
      <c r="A2182" s="1923"/>
      <c r="B2182" s="1922"/>
      <c r="C2182" s="2308" t="s">
        <v>466</v>
      </c>
      <c r="D2182" s="2307" t="s">
        <v>991</v>
      </c>
      <c r="E2182" s="2284">
        <v>8530</v>
      </c>
      <c r="F2182" s="1919">
        <v>8530</v>
      </c>
      <c r="G2182" s="2296">
        <f>7200+2358</f>
        <v>9558</v>
      </c>
      <c r="H2182" s="2250">
        <f>G2182/F2182</f>
        <v>1.1205158264947246</v>
      </c>
      <c r="J2182" s="1702"/>
    </row>
    <row r="2183" spans="1:10" s="1906" customFormat="1" ht="17.100000000000001" customHeight="1">
      <c r="A2183" s="1923"/>
      <c r="B2183" s="1922"/>
      <c r="C2183" s="2308" t="s">
        <v>523</v>
      </c>
      <c r="D2183" s="2309" t="s">
        <v>987</v>
      </c>
      <c r="E2183" s="2284">
        <v>47470</v>
      </c>
      <c r="F2183" s="1919">
        <v>0</v>
      </c>
      <c r="G2183" s="2296">
        <f>8075+2107</f>
        <v>10182</v>
      </c>
      <c r="H2183" s="2250"/>
      <c r="J2183" s="1702"/>
    </row>
    <row r="2184" spans="1:10" s="1906" customFormat="1" ht="17.100000000000001" customHeight="1">
      <c r="A2184" s="1923"/>
      <c r="B2184" s="1922"/>
      <c r="C2184" s="2308" t="s">
        <v>522</v>
      </c>
      <c r="D2184" s="2309" t="s">
        <v>987</v>
      </c>
      <c r="E2184" s="2284">
        <v>8530</v>
      </c>
      <c r="F2184" s="1919">
        <v>0</v>
      </c>
      <c r="G2184" s="2296">
        <f>1425+393</f>
        <v>1818</v>
      </c>
      <c r="H2184" s="2250"/>
      <c r="J2184" s="1702"/>
    </row>
    <row r="2185" spans="1:10" s="1906" customFormat="1" ht="17.100000000000001" hidden="1" customHeight="1">
      <c r="A2185" s="1923"/>
      <c r="B2185" s="1922"/>
      <c r="C2185" s="2308" t="s">
        <v>521</v>
      </c>
      <c r="D2185" s="2307" t="s">
        <v>1092</v>
      </c>
      <c r="E2185" s="2284">
        <v>0</v>
      </c>
      <c r="F2185" s="1919"/>
      <c r="G2185" s="1918">
        <v>0</v>
      </c>
      <c r="H2185" s="2250" t="e">
        <f t="shared" ref="H2185:H2192" si="154">G2185/F2185</f>
        <v>#DIV/0!</v>
      </c>
      <c r="J2185" s="1702"/>
    </row>
    <row r="2186" spans="1:10" s="1906" customFormat="1" ht="17.100000000000001" hidden="1" customHeight="1">
      <c r="A2186" s="1923"/>
      <c r="B2186" s="1922"/>
      <c r="C2186" s="2308" t="s">
        <v>487</v>
      </c>
      <c r="D2186" s="2307" t="s">
        <v>1092</v>
      </c>
      <c r="E2186" s="2284">
        <v>0</v>
      </c>
      <c r="F2186" s="1919"/>
      <c r="G2186" s="1918">
        <v>0</v>
      </c>
      <c r="H2186" s="2250" t="e">
        <f t="shared" si="154"/>
        <v>#DIV/0!</v>
      </c>
      <c r="J2186" s="1702"/>
    </row>
    <row r="2187" spans="1:10" s="1906" customFormat="1" ht="17.100000000000001" customHeight="1">
      <c r="A2187" s="1922"/>
      <c r="B2187" s="1922"/>
      <c r="C2187" s="2306" t="s">
        <v>520</v>
      </c>
      <c r="D2187" s="2305" t="s">
        <v>1118</v>
      </c>
      <c r="E2187" s="2304">
        <v>5936</v>
      </c>
      <c r="F2187" s="2303">
        <v>5936</v>
      </c>
      <c r="G2187" s="2300">
        <f>4250+843</f>
        <v>5093</v>
      </c>
      <c r="H2187" s="2302">
        <f t="shared" si="154"/>
        <v>0.85798517520215634</v>
      </c>
      <c r="J2187" s="1702"/>
    </row>
    <row r="2188" spans="1:10" s="1906" customFormat="1" ht="17.100000000000001" customHeight="1">
      <c r="A2188" s="1923"/>
      <c r="B2188" s="1922"/>
      <c r="C2188" s="1976" t="s">
        <v>507</v>
      </c>
      <c r="D2188" s="1920" t="s">
        <v>1118</v>
      </c>
      <c r="E2188" s="2301">
        <v>1064</v>
      </c>
      <c r="F2188" s="1930">
        <v>1064</v>
      </c>
      <c r="G2188" s="2300">
        <f>750+157</f>
        <v>907</v>
      </c>
      <c r="H2188" s="1928">
        <f t="shared" si="154"/>
        <v>0.85244360902255634</v>
      </c>
      <c r="J2188" s="1702"/>
    </row>
    <row r="2189" spans="1:10" s="1906" customFormat="1" ht="19.5" customHeight="1">
      <c r="A2189" s="1923"/>
      <c r="B2189" s="1922"/>
      <c r="C2189" s="2291" t="s">
        <v>519</v>
      </c>
      <c r="D2189" s="2290" t="s">
        <v>981</v>
      </c>
      <c r="E2189" s="2284">
        <v>173483</v>
      </c>
      <c r="F2189" s="1919">
        <v>173483</v>
      </c>
      <c r="G2189" s="2296">
        <f>110500+35398</f>
        <v>145898</v>
      </c>
      <c r="H2189" s="2250">
        <f t="shared" si="154"/>
        <v>0.84099306560296971</v>
      </c>
      <c r="J2189" s="1702"/>
    </row>
    <row r="2190" spans="1:10" s="1906" customFormat="1" ht="16.5" customHeight="1">
      <c r="A2190" s="1923"/>
      <c r="B2190" s="1922"/>
      <c r="C2190" s="2299" t="s">
        <v>485</v>
      </c>
      <c r="D2190" s="2298" t="s">
        <v>981</v>
      </c>
      <c r="E2190" s="2284">
        <v>31017</v>
      </c>
      <c r="F2190" s="1919">
        <v>31017</v>
      </c>
      <c r="G2190" s="2296">
        <f>19500+6602</f>
        <v>26102</v>
      </c>
      <c r="H2190" s="2250">
        <f t="shared" si="154"/>
        <v>0.84153851113905276</v>
      </c>
      <c r="J2190" s="1702"/>
    </row>
    <row r="2191" spans="1:10" s="1906" customFormat="1" ht="17.100000000000001" customHeight="1">
      <c r="A2191" s="1923"/>
      <c r="B2191" s="1923"/>
      <c r="C2191" s="2297" t="s">
        <v>476</v>
      </c>
      <c r="D2191" s="2279" t="s">
        <v>1011</v>
      </c>
      <c r="E2191" s="2284">
        <v>48534</v>
      </c>
      <c r="F2191" s="1919">
        <v>48534</v>
      </c>
      <c r="G2191" s="2296">
        <f>53835+13587</f>
        <v>67422</v>
      </c>
      <c r="H2191" s="2250">
        <f t="shared" si="154"/>
        <v>1.3891704784274941</v>
      </c>
      <c r="J2191" s="1702"/>
    </row>
    <row r="2192" spans="1:10" s="1906" customFormat="1" ht="17.100000000000001" customHeight="1">
      <c r="A2192" s="1923"/>
      <c r="B2192" s="1923"/>
      <c r="C2192" s="2297" t="s">
        <v>453</v>
      </c>
      <c r="D2192" s="2279" t="s">
        <v>1011</v>
      </c>
      <c r="E2192" s="2284">
        <v>8655</v>
      </c>
      <c r="F2192" s="1919">
        <v>8655</v>
      </c>
      <c r="G2192" s="2296">
        <f>9500+2534</f>
        <v>12034</v>
      </c>
      <c r="H2192" s="2250">
        <f t="shared" si="154"/>
        <v>1.3904101675332179</v>
      </c>
      <c r="J2192" s="1702"/>
    </row>
    <row r="2193" spans="1:10" s="1906" customFormat="1" ht="15.75" customHeight="1">
      <c r="A2193" s="1922"/>
      <c r="B2193" s="1922"/>
      <c r="C2193" s="2050"/>
      <c r="D2193" s="2295"/>
      <c r="E2193" s="2284"/>
      <c r="F2193" s="1919"/>
      <c r="G2193" s="1918"/>
      <c r="H2193" s="2250"/>
      <c r="J2193" s="1702"/>
    </row>
    <row r="2194" spans="1:10" s="1906" customFormat="1" ht="17.100000000000001" customHeight="1">
      <c r="A2194" s="1923"/>
      <c r="B2194" s="1922"/>
      <c r="C2194" s="4119" t="s">
        <v>941</v>
      </c>
      <c r="D2194" s="4119"/>
      <c r="E2194" s="2294">
        <f>SUM(E2195)</f>
        <v>198000</v>
      </c>
      <c r="F2194" s="2294">
        <f>SUM(F2195)</f>
        <v>198000</v>
      </c>
      <c r="G2194" s="2293">
        <f>SUM(G2195)</f>
        <v>417800</v>
      </c>
      <c r="H2194" s="2256">
        <f>G2194/F2194</f>
        <v>2.11010101010101</v>
      </c>
      <c r="J2194" s="1702"/>
    </row>
    <row r="2195" spans="1:10" s="1906" customFormat="1" ht="17.100000000000001" customHeight="1">
      <c r="A2195" s="1923"/>
      <c r="B2195" s="1922"/>
      <c r="C2195" s="4241" t="s">
        <v>940</v>
      </c>
      <c r="D2195" s="4241"/>
      <c r="E2195" s="2284">
        <f>SUM(E2196:E2197)</f>
        <v>198000</v>
      </c>
      <c r="F2195" s="2284">
        <f>SUM(F2196:F2197)</f>
        <v>198000</v>
      </c>
      <c r="G2195" s="2292">
        <f>SUM(G2196:G2197)</f>
        <v>417800</v>
      </c>
      <c r="H2195" s="2250">
        <f>G2195/F2195</f>
        <v>2.11010101010101</v>
      </c>
      <c r="J2195" s="1702"/>
    </row>
    <row r="2196" spans="1:10" s="1906" customFormat="1" ht="17.100000000000001" customHeight="1">
      <c r="A2196" s="1923"/>
      <c r="B2196" s="1922"/>
      <c r="C2196" s="2291" t="s">
        <v>546</v>
      </c>
      <c r="D2196" s="2290" t="s">
        <v>1023</v>
      </c>
      <c r="E2196" s="2284">
        <v>150000</v>
      </c>
      <c r="F2196" s="1919">
        <v>0</v>
      </c>
      <c r="G2196" s="1918">
        <v>227800</v>
      </c>
      <c r="H2196" s="2250"/>
      <c r="J2196" s="1702"/>
    </row>
    <row r="2197" spans="1:10" s="1906" customFormat="1" ht="15" customHeight="1" thickBot="1">
      <c r="A2197" s="1923"/>
      <c r="B2197" s="1922"/>
      <c r="C2197" s="2291" t="s">
        <v>553</v>
      </c>
      <c r="D2197" s="2290" t="s">
        <v>1072</v>
      </c>
      <c r="E2197" s="2284">
        <v>48000</v>
      </c>
      <c r="F2197" s="1919">
        <v>198000</v>
      </c>
      <c r="G2197" s="1918">
        <v>190000</v>
      </c>
      <c r="H2197" s="2250">
        <f t="shared" ref="H2197:H2212" si="155">G2197/F2197</f>
        <v>0.95959595959595956</v>
      </c>
      <c r="J2197" s="1702"/>
    </row>
    <row r="2198" spans="1:10" s="1906" customFormat="1" ht="17.100000000000001" hidden="1" customHeight="1" thickBot="1">
      <c r="A2198" s="1923"/>
      <c r="B2198" s="1922"/>
      <c r="C2198" s="2291" t="s">
        <v>500</v>
      </c>
      <c r="D2198" s="2290" t="s">
        <v>1072</v>
      </c>
      <c r="E2198" s="2284">
        <v>0</v>
      </c>
      <c r="F2198" s="1919"/>
      <c r="G2198" s="1918"/>
      <c r="H2198" s="2250" t="e">
        <f t="shared" si="155"/>
        <v>#DIV/0!</v>
      </c>
      <c r="J2198" s="1702"/>
    </row>
    <row r="2199" spans="1:10" s="1906" customFormat="1" ht="17.100000000000001" hidden="1" customHeight="1" thickBot="1">
      <c r="A2199" s="1923"/>
      <c r="B2199" s="1922"/>
      <c r="C2199" s="2291" t="s">
        <v>569</v>
      </c>
      <c r="D2199" s="2290" t="s">
        <v>1072</v>
      </c>
      <c r="E2199" s="2284">
        <v>0</v>
      </c>
      <c r="F2199" s="1919"/>
      <c r="G2199" s="1918"/>
      <c r="H2199" s="2250" t="e">
        <f t="shared" si="155"/>
        <v>#DIV/0!</v>
      </c>
      <c r="J2199" s="1702"/>
    </row>
    <row r="2200" spans="1:10" s="1906" customFormat="1" ht="15" hidden="1" customHeight="1" thickBot="1">
      <c r="A2200" s="1923"/>
      <c r="B2200" s="1922"/>
      <c r="C2200" s="1996"/>
      <c r="D2200" s="2289"/>
      <c r="E2200" s="2284"/>
      <c r="F2200" s="1919"/>
      <c r="G2200" s="1918"/>
      <c r="H2200" s="2250" t="e">
        <f t="shared" si="155"/>
        <v>#DIV/0!</v>
      </c>
      <c r="J2200" s="1702"/>
    </row>
    <row r="2201" spans="1:10" s="1906" customFormat="1" ht="20.25" hidden="1" customHeight="1" thickBot="1">
      <c r="A2201" s="1923"/>
      <c r="B2201" s="1922"/>
      <c r="C2201" s="4242" t="s">
        <v>1024</v>
      </c>
      <c r="D2201" s="4243"/>
      <c r="E2201" s="2284">
        <v>0</v>
      </c>
      <c r="F2201" s="1919"/>
      <c r="G2201" s="1918"/>
      <c r="H2201" s="2250" t="e">
        <f t="shared" si="155"/>
        <v>#DIV/0!</v>
      </c>
      <c r="J2201" s="1702"/>
    </row>
    <row r="2202" spans="1:10" s="1906" customFormat="1" ht="17.100000000000001" hidden="1" customHeight="1" thickBot="1">
      <c r="A2202" s="1923"/>
      <c r="B2202" s="1922"/>
      <c r="C2202" s="2288" t="s">
        <v>500</v>
      </c>
      <c r="D2202" s="2287" t="s">
        <v>1072</v>
      </c>
      <c r="E2202" s="2284">
        <v>0</v>
      </c>
      <c r="F2202" s="1919"/>
      <c r="G2202" s="1918"/>
      <c r="H2202" s="2250" t="e">
        <f t="shared" si="155"/>
        <v>#DIV/0!</v>
      </c>
      <c r="J2202" s="1702"/>
    </row>
    <row r="2203" spans="1:10" s="1906" customFormat="1" ht="17.100000000000001" hidden="1" customHeight="1" thickBot="1">
      <c r="A2203" s="1923"/>
      <c r="B2203" s="1922"/>
      <c r="C2203" s="2286" t="s">
        <v>569</v>
      </c>
      <c r="D2203" s="2285" t="s">
        <v>1072</v>
      </c>
      <c r="E2203" s="2284">
        <v>0</v>
      </c>
      <c r="F2203" s="1919"/>
      <c r="G2203" s="1918"/>
      <c r="H2203" s="2283" t="e">
        <f t="shared" si="155"/>
        <v>#DIV/0!</v>
      </c>
      <c r="J2203" s="1702"/>
    </row>
    <row r="2204" spans="1:10" s="1906" customFormat="1" ht="17.100000000000001" customHeight="1" thickBot="1">
      <c r="A2204" s="1923"/>
      <c r="B2204" s="1971" t="s">
        <v>539</v>
      </c>
      <c r="C2204" s="1970"/>
      <c r="D2204" s="1969" t="s">
        <v>50</v>
      </c>
      <c r="E2204" s="1968">
        <f>SUM(E2205,E2234)</f>
        <v>5967981</v>
      </c>
      <c r="F2204" s="1968">
        <f>SUM(F2205,F2234)</f>
        <v>15239018</v>
      </c>
      <c r="G2204" s="1967">
        <f>SUM(G2205,G2234)</f>
        <v>2444093</v>
      </c>
      <c r="H2204" s="1966">
        <f t="shared" si="155"/>
        <v>0.16038389087800803</v>
      </c>
      <c r="J2204" s="1702"/>
    </row>
    <row r="2205" spans="1:10" s="1906" customFormat="1" ht="17.100000000000001" customHeight="1">
      <c r="A2205" s="1923"/>
      <c r="B2205" s="2022"/>
      <c r="C2205" s="4130" t="s">
        <v>944</v>
      </c>
      <c r="D2205" s="4130"/>
      <c r="E2205" s="2282">
        <f>SUM(E2206,E2214)</f>
        <v>5965475</v>
      </c>
      <c r="F2205" s="2282">
        <f>SUM(F2206,F2214)</f>
        <v>15237753</v>
      </c>
      <c r="G2205" s="1964">
        <f>SUM(G2206,G2214)</f>
        <v>2444093</v>
      </c>
      <c r="H2205" s="2281">
        <f t="shared" si="155"/>
        <v>0.1603972055459883</v>
      </c>
      <c r="J2205" s="1702"/>
    </row>
    <row r="2206" spans="1:10" s="1906" customFormat="1" ht="17.100000000000001" customHeight="1">
      <c r="A2206" s="1923"/>
      <c r="B2206" s="2014"/>
      <c r="C2206" s="4244" t="s">
        <v>943</v>
      </c>
      <c r="D2206" s="4244"/>
      <c r="E2206" s="2280">
        <f>SUM(E2207:E2212)</f>
        <v>5913991</v>
      </c>
      <c r="F2206" s="2280">
        <f>SUM(F2207:F2212)</f>
        <v>15168098</v>
      </c>
      <c r="G2206" s="2254">
        <f>SUM(G2207:G2212)</f>
        <v>2444093</v>
      </c>
      <c r="H2206" s="2250">
        <f t="shared" si="155"/>
        <v>0.16113378223162853</v>
      </c>
      <c r="J2206" s="1702"/>
    </row>
    <row r="2207" spans="1:10" s="1906" customFormat="1" ht="62.25" customHeight="1" thickBot="1">
      <c r="A2207" s="1913"/>
      <c r="B2207" s="2379"/>
      <c r="C2207" s="3733" t="s">
        <v>359</v>
      </c>
      <c r="D2207" s="3734" t="s">
        <v>1117</v>
      </c>
      <c r="E2207" s="3715">
        <v>5285430</v>
      </c>
      <c r="F2207" s="3715">
        <v>14448378</v>
      </c>
      <c r="G2207" s="1915">
        <v>2417975</v>
      </c>
      <c r="H2207" s="2250">
        <f t="shared" si="155"/>
        <v>0.16735269522987287</v>
      </c>
      <c r="J2207" s="1702" t="s">
        <v>1025</v>
      </c>
    </row>
    <row r="2208" spans="1:10" s="1906" customFormat="1" ht="52.5" customHeight="1" thickBot="1">
      <c r="A2208" s="1913"/>
      <c r="B2208" s="2379"/>
      <c r="C2208" s="2325" t="s">
        <v>185</v>
      </c>
      <c r="D2208" s="3732" t="s">
        <v>1095</v>
      </c>
      <c r="E2208" s="1909">
        <v>628561</v>
      </c>
      <c r="F2208" s="1909">
        <v>629826</v>
      </c>
      <c r="G2208" s="1908">
        <v>26118</v>
      </c>
      <c r="H2208" s="2250">
        <f t="shared" si="155"/>
        <v>4.1468596088443478E-2</v>
      </c>
      <c r="J2208" s="1702" t="s">
        <v>1025</v>
      </c>
    </row>
    <row r="2209" spans="1:10" s="1906" customFormat="1" ht="45" hidden="1" customHeight="1">
      <c r="A2209" s="1923"/>
      <c r="B2209" s="1981"/>
      <c r="C2209" s="2278" t="s">
        <v>91</v>
      </c>
      <c r="D2209" s="2277" t="s">
        <v>942</v>
      </c>
      <c r="E2209" s="2275">
        <v>0</v>
      </c>
      <c r="F2209" s="2275">
        <v>14134</v>
      </c>
      <c r="G2209" s="1929">
        <v>0</v>
      </c>
      <c r="H2209" s="2250">
        <f t="shared" si="155"/>
        <v>0</v>
      </c>
      <c r="J2209" s="1702"/>
    </row>
    <row r="2210" spans="1:10" s="1906" customFormat="1" ht="52.5" hidden="1" customHeight="1">
      <c r="A2210" s="1923"/>
      <c r="B2210" s="1981"/>
      <c r="C2210" s="1924" t="s">
        <v>364</v>
      </c>
      <c r="D2210" s="2272" t="s">
        <v>1116</v>
      </c>
      <c r="E2210" s="1919">
        <v>0</v>
      </c>
      <c r="F2210" s="1919">
        <v>1772</v>
      </c>
      <c r="G2210" s="1918">
        <v>0</v>
      </c>
      <c r="H2210" s="2250">
        <f t="shared" si="155"/>
        <v>0</v>
      </c>
      <c r="J2210" s="1702"/>
    </row>
    <row r="2211" spans="1:10" s="1906" customFormat="1" ht="51" hidden="1" customHeight="1">
      <c r="A2211" s="1922"/>
      <c r="B2211" s="1981"/>
      <c r="C2211" s="1976" t="s">
        <v>300</v>
      </c>
      <c r="D2211" s="2276" t="s">
        <v>1116</v>
      </c>
      <c r="E2211" s="2275">
        <v>0</v>
      </c>
      <c r="F2211" s="2275">
        <v>2369</v>
      </c>
      <c r="G2211" s="1929">
        <v>0</v>
      </c>
      <c r="H2211" s="2270">
        <f t="shared" si="155"/>
        <v>0</v>
      </c>
      <c r="J2211" s="1702"/>
    </row>
    <row r="2212" spans="1:10" s="1906" customFormat="1" ht="19.5" hidden="1" customHeight="1">
      <c r="A2212" s="1923"/>
      <c r="B2212" s="1981"/>
      <c r="C2212" s="2274" t="s">
        <v>301</v>
      </c>
      <c r="D2212" s="2273" t="s">
        <v>1115</v>
      </c>
      <c r="E2212" s="1919">
        <v>0</v>
      </c>
      <c r="F2212" s="1919">
        <v>71619</v>
      </c>
      <c r="G2212" s="1918">
        <v>0</v>
      </c>
      <c r="H2212" s="2250">
        <f t="shared" si="155"/>
        <v>0</v>
      </c>
      <c r="J2212" s="1702"/>
    </row>
    <row r="2213" spans="1:10" s="1906" customFormat="1" ht="15" hidden="1" customHeight="1">
      <c r="A2213" s="1922"/>
      <c r="B2213" s="1981"/>
      <c r="C2213" s="1991"/>
      <c r="D2213" s="2272"/>
      <c r="E2213" s="1919"/>
      <c r="F2213" s="1919"/>
      <c r="G2213" s="1918"/>
      <c r="H2213" s="2250"/>
      <c r="J2213" s="1702"/>
    </row>
    <row r="2214" spans="1:10" s="1906" customFormat="1" ht="16.5" hidden="1" customHeight="1">
      <c r="A2214" s="1923"/>
      <c r="B2214" s="1981"/>
      <c r="C2214" s="4232" t="s">
        <v>976</v>
      </c>
      <c r="D2214" s="4232"/>
      <c r="E2214" s="1975">
        <f>SUM(E2215:E2232)</f>
        <v>51484</v>
      </c>
      <c r="F2214" s="1975">
        <f>SUM(F2215:F2232)</f>
        <v>69655</v>
      </c>
      <c r="G2214" s="2271">
        <f>SUM(G2215:G2232)</f>
        <v>0</v>
      </c>
      <c r="H2214" s="2270">
        <f t="shared" ref="H2214:H2232" si="156">G2214/F2214</f>
        <v>0</v>
      </c>
      <c r="J2214" s="1702"/>
    </row>
    <row r="2215" spans="1:10" s="1906" customFormat="1" ht="16.5" hidden="1" customHeight="1">
      <c r="A2215" s="1923"/>
      <c r="B2215" s="1981"/>
      <c r="C2215" s="2260" t="s">
        <v>462</v>
      </c>
      <c r="D2215" s="2269" t="s">
        <v>1015</v>
      </c>
      <c r="E2215" s="1919">
        <v>31080</v>
      </c>
      <c r="F2215" s="1919">
        <v>43605</v>
      </c>
      <c r="G2215" s="1918">
        <v>0</v>
      </c>
      <c r="H2215" s="2250">
        <f t="shared" si="156"/>
        <v>0</v>
      </c>
      <c r="J2215" s="1702"/>
    </row>
    <row r="2216" spans="1:10" s="1906" customFormat="1" ht="16.5" hidden="1" customHeight="1">
      <c r="A2216" s="1923"/>
      <c r="B2216" s="1981"/>
      <c r="C2216" s="2260" t="s">
        <v>461</v>
      </c>
      <c r="D2216" s="1973" t="s">
        <v>1015</v>
      </c>
      <c r="E2216" s="1919">
        <v>5798</v>
      </c>
      <c r="F2216" s="1919">
        <v>8133</v>
      </c>
      <c r="G2216" s="1918">
        <v>0</v>
      </c>
      <c r="H2216" s="2250">
        <f t="shared" si="156"/>
        <v>0</v>
      </c>
      <c r="J2216" s="1702"/>
    </row>
    <row r="2217" spans="1:10" s="1906" customFormat="1" ht="16.5" hidden="1" customHeight="1">
      <c r="A2217" s="1923"/>
      <c r="B2217" s="1981"/>
      <c r="C2217" s="2268" t="s">
        <v>494</v>
      </c>
      <c r="D2217" s="2267" t="s">
        <v>1013</v>
      </c>
      <c r="E2217" s="1919">
        <v>3744</v>
      </c>
      <c r="F2217" s="1919">
        <v>3744</v>
      </c>
      <c r="G2217" s="1918">
        <v>0</v>
      </c>
      <c r="H2217" s="2250">
        <f t="shared" si="156"/>
        <v>0</v>
      </c>
      <c r="J2217" s="1702"/>
    </row>
    <row r="2218" spans="1:10" s="1906" customFormat="1" ht="16.5" hidden="1" customHeight="1">
      <c r="A2218" s="1923"/>
      <c r="B2218" s="1981"/>
      <c r="C2218" s="2266" t="s">
        <v>493</v>
      </c>
      <c r="D2218" s="2010" t="s">
        <v>1013</v>
      </c>
      <c r="E2218" s="1919">
        <v>699</v>
      </c>
      <c r="F2218" s="1919">
        <v>699</v>
      </c>
      <c r="G2218" s="1918">
        <v>0</v>
      </c>
      <c r="H2218" s="2250">
        <f t="shared" si="156"/>
        <v>0</v>
      </c>
      <c r="J2218" s="1702"/>
    </row>
    <row r="2219" spans="1:10" s="1906" customFormat="1" ht="16.5" hidden="1" customHeight="1" thickBot="1">
      <c r="A2219" s="1913"/>
      <c r="B2219" s="2006"/>
      <c r="C2219" s="2265" t="s">
        <v>460</v>
      </c>
      <c r="D2219" s="2264" t="s">
        <v>964</v>
      </c>
      <c r="E2219" s="1916">
        <v>5921</v>
      </c>
      <c r="F2219" s="1916">
        <v>8136</v>
      </c>
      <c r="G2219" s="1915">
        <v>0</v>
      </c>
      <c r="H2219" s="1907">
        <f t="shared" si="156"/>
        <v>0</v>
      </c>
      <c r="J2219" s="1702"/>
    </row>
    <row r="2220" spans="1:10" s="1906" customFormat="1" ht="16.5" hidden="1" customHeight="1">
      <c r="A2220" s="1954"/>
      <c r="B2220" s="2009"/>
      <c r="C2220" s="2263" t="s">
        <v>459</v>
      </c>
      <c r="D2220" s="2262" t="s">
        <v>964</v>
      </c>
      <c r="E2220" s="2261">
        <v>1104</v>
      </c>
      <c r="F2220" s="2261">
        <v>1518</v>
      </c>
      <c r="G2220" s="1951">
        <v>0</v>
      </c>
      <c r="H2220" s="1950">
        <f t="shared" si="156"/>
        <v>0</v>
      </c>
      <c r="J2220" s="1702"/>
    </row>
    <row r="2221" spans="1:10" s="1906" customFormat="1" ht="16.5" hidden="1" customHeight="1">
      <c r="A2221" s="1923"/>
      <c r="B2221" s="1981"/>
      <c r="C2221" s="2260" t="s">
        <v>458</v>
      </c>
      <c r="D2221" s="2259" t="s">
        <v>962</v>
      </c>
      <c r="E2221" s="1919">
        <v>854</v>
      </c>
      <c r="F2221" s="1919">
        <v>1160</v>
      </c>
      <c r="G2221" s="1918">
        <v>0</v>
      </c>
      <c r="H2221" s="2250">
        <f t="shared" si="156"/>
        <v>0</v>
      </c>
      <c r="J2221" s="1702"/>
    </row>
    <row r="2222" spans="1:10" s="1906" customFormat="1" ht="16.5" hidden="1" customHeight="1">
      <c r="A2222" s="1923"/>
      <c r="B2222" s="1981"/>
      <c r="C2222" s="2260" t="s">
        <v>457</v>
      </c>
      <c r="D2222" s="2259" t="s">
        <v>962</v>
      </c>
      <c r="E2222" s="1919">
        <v>159</v>
      </c>
      <c r="F2222" s="1919">
        <v>216</v>
      </c>
      <c r="G2222" s="1918">
        <v>0</v>
      </c>
      <c r="H2222" s="2250">
        <f t="shared" si="156"/>
        <v>0</v>
      </c>
      <c r="J2222" s="1702"/>
    </row>
    <row r="2223" spans="1:10" s="1906" customFormat="1" ht="16.5" hidden="1" customHeight="1">
      <c r="A2223" s="1923"/>
      <c r="B2223" s="1981"/>
      <c r="C2223" s="2258" t="s">
        <v>450</v>
      </c>
      <c r="D2223" s="2259" t="s">
        <v>1062</v>
      </c>
      <c r="E2223" s="1919">
        <v>0</v>
      </c>
      <c r="F2223" s="1919"/>
      <c r="G2223" s="1918"/>
      <c r="H2223" s="2250" t="e">
        <f t="shared" si="156"/>
        <v>#DIV/0!</v>
      </c>
      <c r="J2223" s="1702"/>
    </row>
    <row r="2224" spans="1:10" s="1906" customFormat="1" ht="16.5" hidden="1" customHeight="1">
      <c r="A2224" s="1923"/>
      <c r="B2224" s="1981"/>
      <c r="C2224" s="2260" t="s">
        <v>449</v>
      </c>
      <c r="D2224" s="2259" t="s">
        <v>1062</v>
      </c>
      <c r="E2224" s="1919">
        <v>0</v>
      </c>
      <c r="F2224" s="1919"/>
      <c r="G2224" s="1918"/>
      <c r="H2224" s="2250" t="e">
        <f t="shared" si="156"/>
        <v>#DIV/0!</v>
      </c>
      <c r="J2224" s="1702"/>
    </row>
    <row r="2225" spans="1:10" s="1906" customFormat="1" ht="16.5" hidden="1" customHeight="1">
      <c r="A2225" s="1923"/>
      <c r="B2225" s="1981"/>
      <c r="C2225" s="2260" t="s">
        <v>512</v>
      </c>
      <c r="D2225" s="2259" t="s">
        <v>999</v>
      </c>
      <c r="E2225" s="1919">
        <v>0</v>
      </c>
      <c r="F2225" s="1919"/>
      <c r="G2225" s="1918"/>
      <c r="H2225" s="2250" t="e">
        <f t="shared" si="156"/>
        <v>#DIV/0!</v>
      </c>
      <c r="J2225" s="1702"/>
    </row>
    <row r="2226" spans="1:10" s="1906" customFormat="1" ht="16.5" hidden="1" customHeight="1">
      <c r="A2226" s="1923"/>
      <c r="B2226" s="1981"/>
      <c r="C2226" s="2260" t="s">
        <v>511</v>
      </c>
      <c r="D2226" s="2259" t="s">
        <v>999</v>
      </c>
      <c r="E2226" s="1919">
        <v>0</v>
      </c>
      <c r="F2226" s="1919"/>
      <c r="G2226" s="1918"/>
      <c r="H2226" s="2250" t="e">
        <f t="shared" si="156"/>
        <v>#DIV/0!</v>
      </c>
      <c r="J2226" s="1702"/>
    </row>
    <row r="2227" spans="1:10" s="1906" customFormat="1" ht="16.5" hidden="1" customHeight="1">
      <c r="A2227" s="1923"/>
      <c r="B2227" s="1981"/>
      <c r="C2227" s="2260" t="s">
        <v>446</v>
      </c>
      <c r="D2227" s="2259" t="s">
        <v>958</v>
      </c>
      <c r="E2227" s="1919">
        <v>0</v>
      </c>
      <c r="F2227" s="1919"/>
      <c r="G2227" s="1918"/>
      <c r="H2227" s="2250" t="e">
        <f t="shared" si="156"/>
        <v>#DIV/0!</v>
      </c>
      <c r="J2227" s="1702"/>
    </row>
    <row r="2228" spans="1:10" s="1906" customFormat="1" ht="16.5" hidden="1" customHeight="1">
      <c r="A2228" s="1923"/>
      <c r="B2228" s="1981"/>
      <c r="C2228" s="2260" t="s">
        <v>445</v>
      </c>
      <c r="D2228" s="2259" t="s">
        <v>958</v>
      </c>
      <c r="E2228" s="1919">
        <v>0</v>
      </c>
      <c r="F2228" s="1919"/>
      <c r="G2228" s="1918"/>
      <c r="H2228" s="2250" t="e">
        <f t="shared" si="156"/>
        <v>#DIV/0!</v>
      </c>
      <c r="J2228" s="1702"/>
    </row>
    <row r="2229" spans="1:10" s="1906" customFormat="1" ht="16.5" hidden="1" customHeight="1">
      <c r="A2229" s="1923"/>
      <c r="B2229" s="1981"/>
      <c r="C2229" s="2260" t="s">
        <v>467</v>
      </c>
      <c r="D2229" s="2259" t="s">
        <v>991</v>
      </c>
      <c r="E2229" s="1919">
        <v>851</v>
      </c>
      <c r="F2229" s="1919">
        <v>774</v>
      </c>
      <c r="G2229" s="1918">
        <v>0</v>
      </c>
      <c r="H2229" s="2250">
        <f t="shared" si="156"/>
        <v>0</v>
      </c>
      <c r="J2229" s="1702"/>
    </row>
    <row r="2230" spans="1:10" s="1906" customFormat="1" ht="16.5" hidden="1" customHeight="1">
      <c r="A2230" s="1923"/>
      <c r="B2230" s="1981"/>
      <c r="C2230" s="2260" t="s">
        <v>466</v>
      </c>
      <c r="D2230" s="2259" t="s">
        <v>991</v>
      </c>
      <c r="E2230" s="1919">
        <v>158</v>
      </c>
      <c r="F2230" s="1919">
        <v>144</v>
      </c>
      <c r="G2230" s="1918">
        <v>0</v>
      </c>
      <c r="H2230" s="2250">
        <f t="shared" si="156"/>
        <v>0</v>
      </c>
      <c r="J2230" s="1702"/>
    </row>
    <row r="2231" spans="1:10" s="1906" customFormat="1" ht="16.5" hidden="1" customHeight="1">
      <c r="A2231" s="1923"/>
      <c r="B2231" s="1981"/>
      <c r="C2231" s="2258" t="s">
        <v>490</v>
      </c>
      <c r="D2231" s="2257" t="s">
        <v>985</v>
      </c>
      <c r="E2231" s="1919">
        <v>940</v>
      </c>
      <c r="F2231" s="1919">
        <v>1286</v>
      </c>
      <c r="G2231" s="1918">
        <v>0</v>
      </c>
      <c r="H2231" s="2250">
        <f t="shared" si="156"/>
        <v>0</v>
      </c>
      <c r="J2231" s="1702"/>
    </row>
    <row r="2232" spans="1:10" s="1906" customFormat="1" ht="16.5" hidden="1" customHeight="1">
      <c r="A2232" s="1923"/>
      <c r="B2232" s="1981"/>
      <c r="C2232" s="1924" t="s">
        <v>489</v>
      </c>
      <c r="D2232" s="2257" t="s">
        <v>985</v>
      </c>
      <c r="E2232" s="1919">
        <v>176</v>
      </c>
      <c r="F2232" s="1919">
        <v>240</v>
      </c>
      <c r="G2232" s="1918">
        <v>0</v>
      </c>
      <c r="H2232" s="2250">
        <f t="shared" si="156"/>
        <v>0</v>
      </c>
      <c r="J2232" s="1702"/>
    </row>
    <row r="2233" spans="1:10" s="1906" customFormat="1" ht="13.5" hidden="1" customHeight="1">
      <c r="A2233" s="1923"/>
      <c r="B2233" s="1981"/>
      <c r="C2233" s="4146"/>
      <c r="D2233" s="4233"/>
      <c r="E2233" s="1919"/>
      <c r="F2233" s="1919"/>
      <c r="G2233" s="1918"/>
      <c r="H2233" s="2250"/>
      <c r="J2233" s="1702"/>
    </row>
    <row r="2234" spans="1:10" s="1906" customFormat="1" ht="16.5" hidden="1" customHeight="1">
      <c r="A2234" s="1923"/>
      <c r="B2234" s="1981"/>
      <c r="C2234" s="4119" t="s">
        <v>941</v>
      </c>
      <c r="D2234" s="4119"/>
      <c r="E2234" s="1965">
        <f>SUM(E2235)</f>
        <v>2506</v>
      </c>
      <c r="F2234" s="1965">
        <f>SUM(F2235)</f>
        <v>1265</v>
      </c>
      <c r="G2234" s="1964">
        <f>SUM(G2235)</f>
        <v>0</v>
      </c>
      <c r="H2234" s="2256">
        <f t="shared" ref="H2234:H2249" si="157">G2234/F2234</f>
        <v>0</v>
      </c>
      <c r="J2234" s="1702"/>
    </row>
    <row r="2235" spans="1:10" s="1906" customFormat="1" ht="16.5" hidden="1" customHeight="1">
      <c r="A2235" s="1922"/>
      <c r="B2235" s="1981"/>
      <c r="C2235" s="4234" t="s">
        <v>940</v>
      </c>
      <c r="D2235" s="4234"/>
      <c r="E2235" s="2255">
        <f>SUM(E2236)</f>
        <v>2506</v>
      </c>
      <c r="F2235" s="2255">
        <f>SUM(F2236:F2237)</f>
        <v>1265</v>
      </c>
      <c r="G2235" s="2254">
        <f>SUM(G2236:G2237)</f>
        <v>0</v>
      </c>
      <c r="H2235" s="2250">
        <f t="shared" si="157"/>
        <v>0</v>
      </c>
      <c r="J2235" s="1702"/>
    </row>
    <row r="2236" spans="1:10" s="1906" customFormat="1" ht="54.75" hidden="1" customHeight="1">
      <c r="A2236" s="1922"/>
      <c r="B2236" s="2253"/>
      <c r="C2236" s="2252" t="s">
        <v>186</v>
      </c>
      <c r="D2236" s="2251" t="s">
        <v>1026</v>
      </c>
      <c r="E2236" s="1919">
        <v>2506</v>
      </c>
      <c r="F2236" s="1919">
        <v>1253</v>
      </c>
      <c r="G2236" s="1918">
        <v>0</v>
      </c>
      <c r="H2236" s="2250">
        <f t="shared" si="157"/>
        <v>0</v>
      </c>
      <c r="J2236" s="1702" t="s">
        <v>1025</v>
      </c>
    </row>
    <row r="2237" spans="1:10" ht="33" hidden="1" customHeight="1" thickBot="1">
      <c r="A2237" s="2195"/>
      <c r="B2237" s="2249"/>
      <c r="C2237" s="2248" t="s">
        <v>303</v>
      </c>
      <c r="D2237" s="2247" t="s">
        <v>1022</v>
      </c>
      <c r="E2237" s="1873">
        <v>0</v>
      </c>
      <c r="F2237" s="1873">
        <v>12</v>
      </c>
      <c r="G2237" s="1872">
        <v>0</v>
      </c>
      <c r="H2237" s="1871">
        <f t="shared" si="157"/>
        <v>0</v>
      </c>
    </row>
    <row r="2238" spans="1:10" ht="17.100000000000001" customHeight="1" thickBot="1">
      <c r="A2238" s="1844" t="s">
        <v>1114</v>
      </c>
      <c r="B2238" s="1843"/>
      <c r="C2238" s="1842"/>
      <c r="D2238" s="1841" t="s">
        <v>1113</v>
      </c>
      <c r="E2238" s="1737">
        <f>SUM(E2239,E2262,E2286,E2315)</f>
        <v>6764367</v>
      </c>
      <c r="F2238" s="1737">
        <f>SUM(F2239,F2262,F2286,F2315)</f>
        <v>6954975</v>
      </c>
      <c r="G2238" s="1736">
        <f>SUM(G2239,G2262,G2286,G2315)</f>
        <v>2119245</v>
      </c>
      <c r="H2238" s="1735">
        <f t="shared" si="157"/>
        <v>0.30470921894039876</v>
      </c>
    </row>
    <row r="2239" spans="1:10" ht="17.100000000000001" customHeight="1" thickBot="1">
      <c r="A2239" s="1836"/>
      <c r="B2239" s="1768" t="s">
        <v>1112</v>
      </c>
      <c r="C2239" s="1839"/>
      <c r="D2239" s="1838" t="s">
        <v>372</v>
      </c>
      <c r="E2239" s="1818">
        <f>SUM(E2240)</f>
        <v>954429</v>
      </c>
      <c r="F2239" s="1818">
        <f>SUM(F2240)</f>
        <v>954429</v>
      </c>
      <c r="G2239" s="1817">
        <f>SUM(G2240)</f>
        <v>1222611</v>
      </c>
      <c r="H2239" s="1763">
        <f t="shared" si="157"/>
        <v>1.280986851824494</v>
      </c>
    </row>
    <row r="2240" spans="1:10" ht="17.100000000000001" customHeight="1">
      <c r="A2240" s="1836"/>
      <c r="B2240" s="1831"/>
      <c r="C2240" s="4098" t="s">
        <v>944</v>
      </c>
      <c r="D2240" s="4099"/>
      <c r="E2240" s="1815">
        <f>SUM(E2241,E2260)</f>
        <v>954429</v>
      </c>
      <c r="F2240" s="1815">
        <f>SUM(F2241,F2260)</f>
        <v>954429</v>
      </c>
      <c r="G2240" s="1761">
        <f>SUM(G2241,G2260)</f>
        <v>1222611</v>
      </c>
      <c r="H2240" s="1814">
        <f t="shared" si="157"/>
        <v>1.280986851824494</v>
      </c>
    </row>
    <row r="2241" spans="1:8" ht="17.100000000000001" customHeight="1">
      <c r="A2241" s="1836"/>
      <c r="B2241" s="1831"/>
      <c r="C2241" s="4235" t="s">
        <v>967</v>
      </c>
      <c r="D2241" s="4235"/>
      <c r="E2241" s="1850">
        <f>SUM(E2242,E2251)</f>
        <v>950986</v>
      </c>
      <c r="F2241" s="1850">
        <f>SUM(F2242,F2251)</f>
        <v>950986</v>
      </c>
      <c r="G2241" s="1849">
        <f>SUM(G2242,G2251)</f>
        <v>1219168</v>
      </c>
      <c r="H2241" s="2215">
        <f t="shared" si="157"/>
        <v>1.2820041514806737</v>
      </c>
    </row>
    <row r="2242" spans="1:8" ht="17.100000000000001" customHeight="1">
      <c r="A2242" s="1836"/>
      <c r="B2242" s="1831"/>
      <c r="C2242" s="4100" t="s">
        <v>966</v>
      </c>
      <c r="D2242" s="4100"/>
      <c r="E2242" s="1859">
        <f>SUM(E2243:E2249)</f>
        <v>845580</v>
      </c>
      <c r="F2242" s="1859">
        <f>SUM(F2243:F2249)</f>
        <v>845580</v>
      </c>
      <c r="G2242" s="1858">
        <f>SUM(G2243:G2249)</f>
        <v>1096176</v>
      </c>
      <c r="H2242" s="2226">
        <f t="shared" si="157"/>
        <v>1.296359894983325</v>
      </c>
    </row>
    <row r="2243" spans="1:8" ht="17.100000000000001" customHeight="1">
      <c r="A2243" s="1836"/>
      <c r="B2243" s="1831"/>
      <c r="C2243" s="2243" t="s">
        <v>1016</v>
      </c>
      <c r="D2243" s="2242" t="s">
        <v>1015</v>
      </c>
      <c r="E2243" s="1850">
        <v>495767</v>
      </c>
      <c r="F2243" s="1850">
        <v>495767</v>
      </c>
      <c r="G2243" s="1849">
        <v>647383</v>
      </c>
      <c r="H2243" s="2215">
        <f t="shared" si="157"/>
        <v>1.3058210812740663</v>
      </c>
    </row>
    <row r="2244" spans="1:8" ht="17.100000000000001" customHeight="1">
      <c r="A2244" s="1836"/>
      <c r="B2244" s="1831"/>
      <c r="C2244" s="2243" t="s">
        <v>1014</v>
      </c>
      <c r="D2244" s="2242" t="s">
        <v>1013</v>
      </c>
      <c r="E2244" s="1850">
        <v>36859</v>
      </c>
      <c r="F2244" s="1850">
        <v>36859</v>
      </c>
      <c r="G2244" s="1849">
        <v>40127</v>
      </c>
      <c r="H2244" s="2215">
        <f t="shared" si="157"/>
        <v>1.0886621991915135</v>
      </c>
    </row>
    <row r="2245" spans="1:8" ht="17.100000000000001" customHeight="1">
      <c r="A2245" s="1836"/>
      <c r="B2245" s="1831"/>
      <c r="C2245" s="2243" t="s">
        <v>965</v>
      </c>
      <c r="D2245" s="2242" t="s">
        <v>964</v>
      </c>
      <c r="E2245" s="1850">
        <v>117738</v>
      </c>
      <c r="F2245" s="1850">
        <v>117738</v>
      </c>
      <c r="G2245" s="1849">
        <v>149564</v>
      </c>
      <c r="H2245" s="2215">
        <f t="shared" si="157"/>
        <v>1.2703120487862882</v>
      </c>
    </row>
    <row r="2246" spans="1:8" ht="15.75" customHeight="1">
      <c r="A2246" s="1836"/>
      <c r="B2246" s="1831"/>
      <c r="C2246" s="2243" t="s">
        <v>963</v>
      </c>
      <c r="D2246" s="2242" t="s">
        <v>962</v>
      </c>
      <c r="E2246" s="1850">
        <v>16783</v>
      </c>
      <c r="F2246" s="1850">
        <v>16783</v>
      </c>
      <c r="G2246" s="1849">
        <v>21287</v>
      </c>
      <c r="H2246" s="2215">
        <f t="shared" si="157"/>
        <v>1.2683667997378298</v>
      </c>
    </row>
    <row r="2247" spans="1:8" ht="15.75" customHeight="1">
      <c r="A2247" s="1836"/>
      <c r="B2247" s="1831"/>
      <c r="C2247" s="2243" t="s">
        <v>1012</v>
      </c>
      <c r="D2247" s="2246" t="s">
        <v>1011</v>
      </c>
      <c r="E2247" s="1850">
        <v>1647</v>
      </c>
      <c r="F2247" s="1850">
        <v>1647</v>
      </c>
      <c r="G2247" s="1849">
        <v>1851</v>
      </c>
      <c r="H2247" s="2215">
        <f t="shared" si="157"/>
        <v>1.1238615664845173</v>
      </c>
    </row>
    <row r="2248" spans="1:8" ht="15.75" customHeight="1">
      <c r="A2248" s="1836"/>
      <c r="B2248" s="1831"/>
      <c r="C2248" s="2243" t="s">
        <v>1107</v>
      </c>
      <c r="D2248" s="2242" t="s">
        <v>1106</v>
      </c>
      <c r="E2248" s="1850">
        <v>162644</v>
      </c>
      <c r="F2248" s="1850">
        <v>162644</v>
      </c>
      <c r="G2248" s="1849">
        <v>222217</v>
      </c>
      <c r="H2248" s="2215">
        <f t="shared" si="157"/>
        <v>1.3662784978234672</v>
      </c>
    </row>
    <row r="2249" spans="1:8" ht="15.75" customHeight="1">
      <c r="A2249" s="1822"/>
      <c r="B2249" s="1831"/>
      <c r="C2249" s="2245" t="s">
        <v>1105</v>
      </c>
      <c r="D2249" s="2244" t="s">
        <v>1104</v>
      </c>
      <c r="E2249" s="1850">
        <v>14142</v>
      </c>
      <c r="F2249" s="1850">
        <v>14142</v>
      </c>
      <c r="G2249" s="1849">
        <v>13747</v>
      </c>
      <c r="H2249" s="2215">
        <f t="shared" si="157"/>
        <v>0.97206901428369397</v>
      </c>
    </row>
    <row r="2250" spans="1:8" ht="16.5" customHeight="1">
      <c r="A2250" s="1822"/>
      <c r="B2250" s="1831"/>
      <c r="C2250" s="1810"/>
      <c r="D2250" s="1811"/>
      <c r="E2250" s="1810"/>
      <c r="F2250" s="1870"/>
      <c r="G2250" s="1802"/>
      <c r="H2250" s="1837"/>
    </row>
    <row r="2251" spans="1:8" ht="17.100000000000001" customHeight="1">
      <c r="A2251" s="1836"/>
      <c r="B2251" s="1831"/>
      <c r="C2251" s="4137" t="s">
        <v>961</v>
      </c>
      <c r="D2251" s="4137"/>
      <c r="E2251" s="1809">
        <f>SUM(E2252:E2257)</f>
        <v>105406</v>
      </c>
      <c r="F2251" s="1809">
        <f>SUM(F2252:F2257)</f>
        <v>105406</v>
      </c>
      <c r="G2251" s="1808">
        <f>SUM(G2252:G2257)</f>
        <v>122992</v>
      </c>
      <c r="H2251" s="2226">
        <f t="shared" ref="H2251:H2258" si="158">G2251/F2251</f>
        <v>1.1668405973094511</v>
      </c>
    </row>
    <row r="2252" spans="1:8" ht="17.100000000000001" customHeight="1">
      <c r="A2252" s="1836"/>
      <c r="B2252" s="1831"/>
      <c r="C2252" s="2243" t="s">
        <v>613</v>
      </c>
      <c r="D2252" s="2242" t="s">
        <v>960</v>
      </c>
      <c r="E2252" s="1850">
        <v>31580</v>
      </c>
      <c r="F2252" s="1850">
        <v>31580</v>
      </c>
      <c r="G2252" s="1849">
        <v>36317</v>
      </c>
      <c r="H2252" s="2215">
        <f t="shared" si="158"/>
        <v>1.1499999999999999</v>
      </c>
    </row>
    <row r="2253" spans="1:8" ht="17.100000000000001" customHeight="1">
      <c r="A2253" s="1836"/>
      <c r="B2253" s="1831"/>
      <c r="C2253" s="2243" t="s">
        <v>1004</v>
      </c>
      <c r="D2253" s="2242" t="s">
        <v>1003</v>
      </c>
      <c r="E2253" s="1850">
        <v>41931</v>
      </c>
      <c r="F2253" s="1850">
        <v>41931</v>
      </c>
      <c r="G2253" s="1849">
        <v>48220</v>
      </c>
      <c r="H2253" s="2215">
        <f t="shared" si="158"/>
        <v>1.1499844983425151</v>
      </c>
    </row>
    <row r="2254" spans="1:8" ht="17.100000000000001" customHeight="1">
      <c r="A2254" s="1836"/>
      <c r="B2254" s="1831"/>
      <c r="C2254" s="2243" t="s">
        <v>1000</v>
      </c>
      <c r="D2254" s="2242" t="s">
        <v>999</v>
      </c>
      <c r="E2254" s="1850">
        <v>1576</v>
      </c>
      <c r="F2254" s="1850">
        <v>1576</v>
      </c>
      <c r="G2254" s="1849">
        <v>1812</v>
      </c>
      <c r="H2254" s="2215">
        <f t="shared" si="158"/>
        <v>1.149746192893401</v>
      </c>
    </row>
    <row r="2255" spans="1:8" ht="17.100000000000001" customHeight="1">
      <c r="A2255" s="1836"/>
      <c r="B2255" s="1831"/>
      <c r="C2255" s="2243" t="s">
        <v>959</v>
      </c>
      <c r="D2255" s="2242" t="s">
        <v>958</v>
      </c>
      <c r="E2255" s="1850">
        <v>6625</v>
      </c>
      <c r="F2255" s="1850">
        <v>6625</v>
      </c>
      <c r="G2255" s="1849">
        <v>7618</v>
      </c>
      <c r="H2255" s="2215">
        <f t="shared" si="158"/>
        <v>1.1498867924528302</v>
      </c>
    </row>
    <row r="2256" spans="1:8" ht="16.5" customHeight="1">
      <c r="A2256" s="1836"/>
      <c r="B2256" s="4191"/>
      <c r="C2256" s="2243" t="s">
        <v>998</v>
      </c>
      <c r="D2256" s="2242" t="s">
        <v>1090</v>
      </c>
      <c r="E2256" s="1850">
        <v>620</v>
      </c>
      <c r="F2256" s="1850">
        <v>620</v>
      </c>
      <c r="G2256" s="1849">
        <v>670</v>
      </c>
      <c r="H2256" s="2215">
        <f t="shared" si="158"/>
        <v>1.0806451612903225</v>
      </c>
    </row>
    <row r="2257" spans="1:8" ht="17.100000000000001" customHeight="1">
      <c r="A2257" s="1836"/>
      <c r="B2257" s="4191"/>
      <c r="C2257" s="2234" t="s">
        <v>986</v>
      </c>
      <c r="D2257" s="2233" t="s">
        <v>985</v>
      </c>
      <c r="E2257" s="2239">
        <v>23074</v>
      </c>
      <c r="F2257" s="2239">
        <v>23074</v>
      </c>
      <c r="G2257" s="2238">
        <v>28355</v>
      </c>
      <c r="H2257" s="2237">
        <f t="shared" si="158"/>
        <v>1.2288723238276849</v>
      </c>
    </row>
    <row r="2258" spans="1:8" ht="17.100000000000001" hidden="1" customHeight="1">
      <c r="A2258" s="1836"/>
      <c r="B2258" s="4191"/>
      <c r="C2258" s="2241" t="s">
        <v>1089</v>
      </c>
      <c r="D2258" s="2240" t="s">
        <v>1088</v>
      </c>
      <c r="E2258" s="2239">
        <v>0</v>
      </c>
      <c r="F2258" s="2239"/>
      <c r="G2258" s="2238"/>
      <c r="H2258" s="2237" t="e">
        <f t="shared" si="158"/>
        <v>#DIV/0!</v>
      </c>
    </row>
    <row r="2259" spans="1:8" ht="13.5" customHeight="1">
      <c r="A2259" s="1836"/>
      <c r="B2259" s="4191"/>
      <c r="C2259" s="2236"/>
      <c r="D2259" s="2235"/>
      <c r="E2259" s="2206"/>
      <c r="F2259" s="1850"/>
      <c r="G2259" s="1849"/>
      <c r="H2259" s="2215"/>
    </row>
    <row r="2260" spans="1:8" ht="17.100000000000001" customHeight="1">
      <c r="A2260" s="1836"/>
      <c r="B2260" s="4191"/>
      <c r="C2260" s="4171" t="s">
        <v>952</v>
      </c>
      <c r="D2260" s="4171"/>
      <c r="E2260" s="1870">
        <f>SUM(E2261)</f>
        <v>3443</v>
      </c>
      <c r="F2260" s="1870">
        <f>SUM(F2261)</f>
        <v>3443</v>
      </c>
      <c r="G2260" s="1802">
        <f>SUM(G2261)</f>
        <v>3443</v>
      </c>
      <c r="H2260" s="2215">
        <f t="shared" ref="H2260:H2296" si="159">G2260/F2260</f>
        <v>1</v>
      </c>
    </row>
    <row r="2261" spans="1:8" ht="17.100000000000001" customHeight="1" thickBot="1">
      <c r="A2261" s="1836"/>
      <c r="B2261" s="4191"/>
      <c r="C2261" s="2234" t="s">
        <v>980</v>
      </c>
      <c r="D2261" s="2233" t="s">
        <v>979</v>
      </c>
      <c r="E2261" s="2232">
        <v>3443</v>
      </c>
      <c r="F2261" s="1850">
        <v>3443</v>
      </c>
      <c r="G2261" s="1849">
        <v>3443</v>
      </c>
      <c r="H2261" s="2231">
        <f t="shared" si="159"/>
        <v>1</v>
      </c>
    </row>
    <row r="2262" spans="1:8" ht="17.100000000000001" hidden="1" customHeight="1" thickBot="1">
      <c r="A2262" s="1836"/>
      <c r="B2262" s="1768" t="s">
        <v>600</v>
      </c>
      <c r="C2262" s="1839"/>
      <c r="D2262" s="1838" t="s">
        <v>1111</v>
      </c>
      <c r="E2262" s="1818">
        <f t="shared" ref="E2262:G2263" si="160">SUM(E2263)</f>
        <v>5152000</v>
      </c>
      <c r="F2262" s="1818">
        <f t="shared" si="160"/>
        <v>4830000</v>
      </c>
      <c r="G2262" s="1817">
        <f t="shared" si="160"/>
        <v>0</v>
      </c>
      <c r="H2262" s="1763">
        <f t="shared" si="159"/>
        <v>0</v>
      </c>
    </row>
    <row r="2263" spans="1:8" ht="17.100000000000001" hidden="1" customHeight="1">
      <c r="A2263" s="1836"/>
      <c r="B2263" s="4084"/>
      <c r="C2263" s="4085" t="s">
        <v>944</v>
      </c>
      <c r="D2263" s="4085"/>
      <c r="E2263" s="1815">
        <f t="shared" si="160"/>
        <v>5152000</v>
      </c>
      <c r="F2263" s="1815">
        <f t="shared" si="160"/>
        <v>4830000</v>
      </c>
      <c r="G2263" s="1761">
        <f t="shared" si="160"/>
        <v>0</v>
      </c>
      <c r="H2263" s="1814">
        <f t="shared" si="159"/>
        <v>0</v>
      </c>
    </row>
    <row r="2264" spans="1:8" ht="17.100000000000001" hidden="1" customHeight="1">
      <c r="A2264" s="1836"/>
      <c r="B2264" s="4084"/>
      <c r="C2264" s="4229" t="s">
        <v>976</v>
      </c>
      <c r="D2264" s="4229"/>
      <c r="E2264" s="1850">
        <f>SUM(E2265:E2285)</f>
        <v>5152000</v>
      </c>
      <c r="F2264" s="1850">
        <f>SUM(F2265:F2285)</f>
        <v>4830000</v>
      </c>
      <c r="G2264" s="1849">
        <f>SUM(G2265:G2285)</f>
        <v>0</v>
      </c>
      <c r="H2264" s="2215">
        <f t="shared" si="159"/>
        <v>0</v>
      </c>
    </row>
    <row r="2265" spans="1:8" ht="15.75" hidden="1" customHeight="1">
      <c r="A2265" s="1836"/>
      <c r="B2265" s="4084"/>
      <c r="C2265" s="2224" t="s">
        <v>599</v>
      </c>
      <c r="D2265" s="2225" t="s">
        <v>1110</v>
      </c>
      <c r="E2265" s="1850">
        <v>3748500</v>
      </c>
      <c r="F2265" s="1850">
        <v>3510500</v>
      </c>
      <c r="G2265" s="1849">
        <v>0</v>
      </c>
      <c r="H2265" s="2215">
        <f t="shared" si="159"/>
        <v>0</v>
      </c>
    </row>
    <row r="2266" spans="1:8" ht="17.100000000000001" hidden="1" customHeight="1">
      <c r="A2266" s="1836"/>
      <c r="B2266" s="1831"/>
      <c r="C2266" s="2224" t="s">
        <v>598</v>
      </c>
      <c r="D2266" s="2225" t="s">
        <v>1110</v>
      </c>
      <c r="E2266" s="1850">
        <v>661500</v>
      </c>
      <c r="F2266" s="1850">
        <v>619500</v>
      </c>
      <c r="G2266" s="1849">
        <v>0</v>
      </c>
      <c r="H2266" s="2215">
        <f t="shared" si="159"/>
        <v>0</v>
      </c>
    </row>
    <row r="2267" spans="1:8" ht="17.100000000000001" hidden="1" customHeight="1">
      <c r="A2267" s="1836"/>
      <c r="B2267" s="1831"/>
      <c r="C2267" s="2224" t="s">
        <v>462</v>
      </c>
      <c r="D2267" s="2225" t="s">
        <v>1015</v>
      </c>
      <c r="E2267" s="1850">
        <v>455304</v>
      </c>
      <c r="F2267" s="1850">
        <v>442051</v>
      </c>
      <c r="G2267" s="1849">
        <v>0</v>
      </c>
      <c r="H2267" s="2215">
        <f t="shared" si="159"/>
        <v>0</v>
      </c>
    </row>
    <row r="2268" spans="1:8" ht="17.100000000000001" hidden="1" customHeight="1">
      <c r="A2268" s="1836"/>
      <c r="B2268" s="1831"/>
      <c r="C2268" s="2224" t="s">
        <v>461</v>
      </c>
      <c r="D2268" s="2225" t="s">
        <v>1015</v>
      </c>
      <c r="E2268" s="1850">
        <v>80342</v>
      </c>
      <c r="F2268" s="1850">
        <v>78009</v>
      </c>
      <c r="G2268" s="1849">
        <v>0</v>
      </c>
      <c r="H2268" s="2215">
        <f t="shared" si="159"/>
        <v>0</v>
      </c>
    </row>
    <row r="2269" spans="1:8" ht="17.100000000000001" hidden="1" customHeight="1">
      <c r="A2269" s="1836"/>
      <c r="B2269" s="1831"/>
      <c r="C2269" s="2224" t="s">
        <v>460</v>
      </c>
      <c r="D2269" s="2225" t="s">
        <v>964</v>
      </c>
      <c r="E2269" s="1850">
        <v>97572</v>
      </c>
      <c r="F2269" s="1850">
        <v>75989</v>
      </c>
      <c r="G2269" s="1849">
        <v>0</v>
      </c>
      <c r="H2269" s="2215">
        <f t="shared" si="159"/>
        <v>0</v>
      </c>
    </row>
    <row r="2270" spans="1:8" ht="17.100000000000001" hidden="1" customHeight="1">
      <c r="A2270" s="1836"/>
      <c r="B2270" s="1831"/>
      <c r="C2270" s="2224" t="s">
        <v>459</v>
      </c>
      <c r="D2270" s="2225" t="s">
        <v>964</v>
      </c>
      <c r="E2270" s="1850">
        <v>17222</v>
      </c>
      <c r="F2270" s="1850">
        <v>13409</v>
      </c>
      <c r="G2270" s="1849">
        <v>0</v>
      </c>
      <c r="H2270" s="2215">
        <f t="shared" si="159"/>
        <v>0</v>
      </c>
    </row>
    <row r="2271" spans="1:8" ht="16.5" hidden="1" customHeight="1">
      <c r="A2271" s="1836"/>
      <c r="B2271" s="1831"/>
      <c r="C2271" s="2224" t="s">
        <v>458</v>
      </c>
      <c r="D2271" s="2225" t="s">
        <v>962</v>
      </c>
      <c r="E2271" s="1850">
        <v>13904</v>
      </c>
      <c r="F2271" s="1850">
        <v>10830</v>
      </c>
      <c r="G2271" s="1849">
        <v>0</v>
      </c>
      <c r="H2271" s="2215">
        <f t="shared" si="159"/>
        <v>0</v>
      </c>
    </row>
    <row r="2272" spans="1:8" ht="16.5" hidden="1" customHeight="1">
      <c r="A2272" s="1836"/>
      <c r="B2272" s="1831"/>
      <c r="C2272" s="2224" t="s">
        <v>457</v>
      </c>
      <c r="D2272" s="2225" t="s">
        <v>962</v>
      </c>
      <c r="E2272" s="1850">
        <v>2456</v>
      </c>
      <c r="F2272" s="1850">
        <v>1911</v>
      </c>
      <c r="G2272" s="1849">
        <v>0</v>
      </c>
      <c r="H2272" s="2215">
        <f t="shared" si="159"/>
        <v>0</v>
      </c>
    </row>
    <row r="2273" spans="1:8" ht="17.100000000000001" hidden="1" customHeight="1">
      <c r="A2273" s="1836"/>
      <c r="B2273" s="1831"/>
      <c r="C2273" s="2224" t="s">
        <v>456</v>
      </c>
      <c r="D2273" s="2225" t="s">
        <v>973</v>
      </c>
      <c r="E2273" s="1850">
        <v>0</v>
      </c>
      <c r="F2273" s="1850"/>
      <c r="G2273" s="1849"/>
      <c r="H2273" s="2215" t="e">
        <f t="shared" si="159"/>
        <v>#DIV/0!</v>
      </c>
    </row>
    <row r="2274" spans="1:8" ht="17.100000000000001" hidden="1" customHeight="1">
      <c r="A2274" s="1836"/>
      <c r="B2274" s="1831"/>
      <c r="C2274" s="2224" t="s">
        <v>455</v>
      </c>
      <c r="D2274" s="2225" t="s">
        <v>973</v>
      </c>
      <c r="E2274" s="1850">
        <v>0</v>
      </c>
      <c r="F2274" s="1850"/>
      <c r="G2274" s="1849"/>
      <c r="H2274" s="2215" t="e">
        <f t="shared" si="159"/>
        <v>#DIV/0!</v>
      </c>
    </row>
    <row r="2275" spans="1:8" ht="15" hidden="1" customHeight="1">
      <c r="A2275" s="1836"/>
      <c r="B2275" s="1831"/>
      <c r="C2275" s="2224" t="s">
        <v>450</v>
      </c>
      <c r="D2275" s="2225" t="s">
        <v>960</v>
      </c>
      <c r="E2275" s="1850">
        <v>37842</v>
      </c>
      <c r="F2275" s="1850">
        <v>35700</v>
      </c>
      <c r="G2275" s="1849">
        <v>0</v>
      </c>
      <c r="H2275" s="2215">
        <f t="shared" si="159"/>
        <v>0</v>
      </c>
    </row>
    <row r="2276" spans="1:8" ht="17.100000000000001" hidden="1" customHeight="1">
      <c r="A2276" s="1836"/>
      <c r="B2276" s="1831"/>
      <c r="C2276" s="2224" t="s">
        <v>449</v>
      </c>
      <c r="D2276" s="2225" t="s">
        <v>960</v>
      </c>
      <c r="E2276" s="1850">
        <v>6678</v>
      </c>
      <c r="F2276" s="1850">
        <v>6300</v>
      </c>
      <c r="G2276" s="1849">
        <v>0</v>
      </c>
      <c r="H2276" s="2215">
        <f t="shared" si="159"/>
        <v>0</v>
      </c>
    </row>
    <row r="2277" spans="1:8" ht="17.100000000000001" hidden="1" customHeight="1">
      <c r="A2277" s="1836"/>
      <c r="B2277" s="1831"/>
      <c r="C2277" s="2224" t="s">
        <v>448</v>
      </c>
      <c r="D2277" s="2225" t="s">
        <v>1003</v>
      </c>
      <c r="E2277" s="1850">
        <v>12614</v>
      </c>
      <c r="F2277" s="1850">
        <v>11900</v>
      </c>
      <c r="G2277" s="1849">
        <v>0</v>
      </c>
      <c r="H2277" s="2215">
        <f t="shared" si="159"/>
        <v>0</v>
      </c>
    </row>
    <row r="2278" spans="1:8" ht="17.100000000000001" hidden="1" customHeight="1">
      <c r="A2278" s="1836"/>
      <c r="B2278" s="1831"/>
      <c r="C2278" s="2224" t="s">
        <v>447</v>
      </c>
      <c r="D2278" s="2225" t="s">
        <v>1003</v>
      </c>
      <c r="E2278" s="1850">
        <v>2226</v>
      </c>
      <c r="F2278" s="1850">
        <v>2100</v>
      </c>
      <c r="G2278" s="1849">
        <v>0</v>
      </c>
      <c r="H2278" s="2215">
        <f t="shared" si="159"/>
        <v>0</v>
      </c>
    </row>
    <row r="2279" spans="1:8" ht="17.100000000000001" hidden="1" customHeight="1">
      <c r="A2279" s="1836"/>
      <c r="B2279" s="1831"/>
      <c r="C2279" s="2224" t="s">
        <v>446</v>
      </c>
      <c r="D2279" s="2225" t="s">
        <v>958</v>
      </c>
      <c r="E2279" s="1850">
        <v>6308</v>
      </c>
      <c r="F2279" s="1850">
        <v>5950</v>
      </c>
      <c r="G2279" s="1849">
        <v>0</v>
      </c>
      <c r="H2279" s="2215">
        <f t="shared" si="159"/>
        <v>0</v>
      </c>
    </row>
    <row r="2280" spans="1:8" ht="17.100000000000001" hidden="1" customHeight="1">
      <c r="A2280" s="1836"/>
      <c r="B2280" s="1831"/>
      <c r="C2280" s="2224" t="s">
        <v>445</v>
      </c>
      <c r="D2280" s="2225" t="s">
        <v>958</v>
      </c>
      <c r="E2280" s="1850">
        <v>1112</v>
      </c>
      <c r="F2280" s="1850">
        <v>1050</v>
      </c>
      <c r="G2280" s="1849">
        <v>0</v>
      </c>
      <c r="H2280" s="2215">
        <f t="shared" si="159"/>
        <v>0</v>
      </c>
    </row>
    <row r="2281" spans="1:8" ht="17.100000000000001" hidden="1" customHeight="1">
      <c r="A2281" s="1836"/>
      <c r="B2281" s="1831"/>
      <c r="C2281" s="2224" t="s">
        <v>444</v>
      </c>
      <c r="D2281" s="2225" t="s">
        <v>1090</v>
      </c>
      <c r="E2281" s="1850">
        <v>6308</v>
      </c>
      <c r="F2281" s="1850">
        <v>5950</v>
      </c>
      <c r="G2281" s="1849">
        <v>0</v>
      </c>
      <c r="H2281" s="2215">
        <f t="shared" si="159"/>
        <v>0</v>
      </c>
    </row>
    <row r="2282" spans="1:8" ht="17.100000000000001" hidden="1" customHeight="1">
      <c r="A2282" s="1836"/>
      <c r="B2282" s="1831"/>
      <c r="C2282" s="2224" t="s">
        <v>443</v>
      </c>
      <c r="D2282" s="2225" t="s">
        <v>1090</v>
      </c>
      <c r="E2282" s="1850">
        <v>1112</v>
      </c>
      <c r="F2282" s="1850">
        <v>1050</v>
      </c>
      <c r="G2282" s="1849">
        <v>0</v>
      </c>
      <c r="H2282" s="2215">
        <f t="shared" si="159"/>
        <v>0</v>
      </c>
    </row>
    <row r="2283" spans="1:8" ht="17.100000000000001" hidden="1" customHeight="1">
      <c r="A2283" s="1836"/>
      <c r="B2283" s="1831"/>
      <c r="C2283" s="2224" t="s">
        <v>492</v>
      </c>
      <c r="D2283" s="2225" t="s">
        <v>995</v>
      </c>
      <c r="E2283" s="1850">
        <v>0</v>
      </c>
      <c r="F2283" s="1850"/>
      <c r="G2283" s="1849"/>
      <c r="H2283" s="2215" t="e">
        <f t="shared" si="159"/>
        <v>#DIV/0!</v>
      </c>
    </row>
    <row r="2284" spans="1:8" ht="17.100000000000001" hidden="1" customHeight="1">
      <c r="A2284" s="1836"/>
      <c r="B2284" s="1831"/>
      <c r="C2284" s="2224" t="s">
        <v>454</v>
      </c>
      <c r="D2284" s="2230" t="s">
        <v>1011</v>
      </c>
      <c r="E2284" s="1850">
        <v>848</v>
      </c>
      <c r="F2284" s="1850">
        <v>6630</v>
      </c>
      <c r="G2284" s="1849">
        <v>0</v>
      </c>
      <c r="H2284" s="2215">
        <f t="shared" si="159"/>
        <v>0</v>
      </c>
    </row>
    <row r="2285" spans="1:8" ht="17.100000000000001" hidden="1" customHeight="1" thickBot="1">
      <c r="A2285" s="1822"/>
      <c r="B2285" s="1847"/>
      <c r="C2285" s="2229" t="s">
        <v>453</v>
      </c>
      <c r="D2285" s="2228" t="s">
        <v>1011</v>
      </c>
      <c r="E2285" s="1739">
        <v>152</v>
      </c>
      <c r="F2285" s="1739">
        <v>1171</v>
      </c>
      <c r="G2285" s="1738">
        <v>0</v>
      </c>
      <c r="H2285" s="2017">
        <f t="shared" si="159"/>
        <v>0</v>
      </c>
    </row>
    <row r="2286" spans="1:8" ht="17.100000000000001" customHeight="1" thickBot="1">
      <c r="A2286" s="1836"/>
      <c r="B2286" s="1768" t="s">
        <v>1109</v>
      </c>
      <c r="C2286" s="1839"/>
      <c r="D2286" s="1838" t="s">
        <v>1108</v>
      </c>
      <c r="E2286" s="1818">
        <f>SUM(E2287,E2312)</f>
        <v>657938</v>
      </c>
      <c r="F2286" s="1818">
        <f>SUM(F2287,F2312)</f>
        <v>770546</v>
      </c>
      <c r="G2286" s="1817">
        <f>SUM(G2287,G2312)</f>
        <v>896634</v>
      </c>
      <c r="H2286" s="1763">
        <f t="shared" si="159"/>
        <v>1.1636346175309455</v>
      </c>
    </row>
    <row r="2287" spans="1:8" ht="17.100000000000001" customHeight="1">
      <c r="A2287" s="1836"/>
      <c r="B2287" s="1831"/>
      <c r="C2287" s="4098" t="s">
        <v>944</v>
      </c>
      <c r="D2287" s="4099"/>
      <c r="E2287" s="1815">
        <f>SUM(E2288,E2309)</f>
        <v>632938</v>
      </c>
      <c r="F2287" s="1815">
        <f>SUM(F2288,F2309)</f>
        <v>745546</v>
      </c>
      <c r="G2287" s="1761">
        <f>SUM(G2288,G2309)</f>
        <v>896634</v>
      </c>
      <c r="H2287" s="2227">
        <f t="shared" si="159"/>
        <v>1.2026541621844931</v>
      </c>
    </row>
    <row r="2288" spans="1:8" ht="17.100000000000001" customHeight="1">
      <c r="A2288" s="1836"/>
      <c r="B2288" s="1831"/>
      <c r="C2288" s="4230" t="s">
        <v>967</v>
      </c>
      <c r="D2288" s="4230"/>
      <c r="E2288" s="1850">
        <f>SUM(E2289,E2298)</f>
        <v>630569</v>
      </c>
      <c r="F2288" s="1850">
        <f>SUM(F2289,F2298)</f>
        <v>743177</v>
      </c>
      <c r="G2288" s="1849">
        <f>SUM(G2289,G2298)</f>
        <v>894194</v>
      </c>
      <c r="H2288" s="1837">
        <f t="shared" si="159"/>
        <v>1.2032046201645099</v>
      </c>
    </row>
    <row r="2289" spans="1:8" ht="17.100000000000001" customHeight="1">
      <c r="A2289" s="1836"/>
      <c r="B2289" s="1831"/>
      <c r="C2289" s="4100" t="s">
        <v>966</v>
      </c>
      <c r="D2289" s="4100"/>
      <c r="E2289" s="1859">
        <f>SUM(E2292:E2296)</f>
        <v>76548</v>
      </c>
      <c r="F2289" s="1859">
        <f>SUM(F2292:F2296)</f>
        <v>76548</v>
      </c>
      <c r="G2289" s="1858">
        <f>SUM(G2292:G2296)</f>
        <v>83044</v>
      </c>
      <c r="H2289" s="2226">
        <f t="shared" si="159"/>
        <v>1.0848617860688718</v>
      </c>
    </row>
    <row r="2290" spans="1:8" ht="17.100000000000001" hidden="1" customHeight="1">
      <c r="A2290" s="1836"/>
      <c r="B2290" s="1831"/>
      <c r="C2290" s="2224" t="s">
        <v>1016</v>
      </c>
      <c r="D2290" s="2225" t="s">
        <v>1015</v>
      </c>
      <c r="E2290" s="1850">
        <v>0</v>
      </c>
      <c r="F2290" s="1850"/>
      <c r="G2290" s="1849"/>
      <c r="H2290" s="2215" t="e">
        <f t="shared" si="159"/>
        <v>#DIV/0!</v>
      </c>
    </row>
    <row r="2291" spans="1:8" ht="17.100000000000001" hidden="1" customHeight="1">
      <c r="A2291" s="1836"/>
      <c r="B2291" s="1831"/>
      <c r="C2291" s="2224" t="s">
        <v>1014</v>
      </c>
      <c r="D2291" s="2216" t="s">
        <v>1013</v>
      </c>
      <c r="E2291" s="1850">
        <v>0</v>
      </c>
      <c r="F2291" s="1850"/>
      <c r="G2291" s="1849"/>
      <c r="H2291" s="2215" t="e">
        <f t="shared" si="159"/>
        <v>#DIV/0!</v>
      </c>
    </row>
    <row r="2292" spans="1:8" ht="16.5" customHeight="1">
      <c r="A2292" s="1836"/>
      <c r="B2292" s="1831"/>
      <c r="C2292" s="2223" t="s">
        <v>965</v>
      </c>
      <c r="D2292" s="2222" t="s">
        <v>964</v>
      </c>
      <c r="E2292" s="1850">
        <v>11069</v>
      </c>
      <c r="F2292" s="1850">
        <v>11069</v>
      </c>
      <c r="G2292" s="1849">
        <v>12103</v>
      </c>
      <c r="H2292" s="2215">
        <f t="shared" si="159"/>
        <v>1.0934140392086007</v>
      </c>
    </row>
    <row r="2293" spans="1:8" ht="16.5" customHeight="1">
      <c r="A2293" s="1836"/>
      <c r="B2293" s="1831"/>
      <c r="C2293" s="1878" t="s">
        <v>963</v>
      </c>
      <c r="D2293" s="1771" t="s">
        <v>962</v>
      </c>
      <c r="E2293" s="1850">
        <v>1578</v>
      </c>
      <c r="F2293" s="1850">
        <v>1578</v>
      </c>
      <c r="G2293" s="1849">
        <v>536</v>
      </c>
      <c r="H2293" s="2215">
        <f t="shared" si="159"/>
        <v>0.33967046894803549</v>
      </c>
    </row>
    <row r="2294" spans="1:8" ht="16.5" hidden="1" customHeight="1">
      <c r="A2294" s="1836"/>
      <c r="B2294" s="1831"/>
      <c r="C2294" s="2221" t="s">
        <v>974</v>
      </c>
      <c r="D2294" s="2220" t="s">
        <v>973</v>
      </c>
      <c r="E2294" s="1850">
        <v>0</v>
      </c>
      <c r="F2294" s="1850">
        <v>0</v>
      </c>
      <c r="G2294" s="1849"/>
      <c r="H2294" s="2215" t="e">
        <f t="shared" si="159"/>
        <v>#DIV/0!</v>
      </c>
    </row>
    <row r="2295" spans="1:8" ht="16.5" customHeight="1">
      <c r="A2295" s="1836"/>
      <c r="B2295" s="1831"/>
      <c r="C2295" s="2218" t="s">
        <v>1107</v>
      </c>
      <c r="D2295" s="2216" t="s">
        <v>1106</v>
      </c>
      <c r="E2295" s="1870">
        <v>62154</v>
      </c>
      <c r="F2295" s="1850">
        <v>62154</v>
      </c>
      <c r="G2295" s="1849">
        <v>64889</v>
      </c>
      <c r="H2295" s="2215">
        <f t="shared" si="159"/>
        <v>1.0440036039514753</v>
      </c>
    </row>
    <row r="2296" spans="1:8" ht="16.5" customHeight="1">
      <c r="A2296" s="1836"/>
      <c r="B2296" s="1831"/>
      <c r="C2296" s="2218" t="s">
        <v>1105</v>
      </c>
      <c r="D2296" s="2216" t="s">
        <v>1104</v>
      </c>
      <c r="E2296" s="1870">
        <v>1747</v>
      </c>
      <c r="F2296" s="1850">
        <v>1747</v>
      </c>
      <c r="G2296" s="1849">
        <v>5516</v>
      </c>
      <c r="H2296" s="2215">
        <f t="shared" si="159"/>
        <v>3.1574127074985689</v>
      </c>
    </row>
    <row r="2297" spans="1:8" ht="17.100000000000001" customHeight="1" thickBot="1">
      <c r="A2297" s="1822"/>
      <c r="B2297" s="1831"/>
      <c r="C2297" s="1810"/>
      <c r="D2297" s="1811"/>
      <c r="E2297" s="1870"/>
      <c r="F2297" s="1850"/>
      <c r="G2297" s="1849"/>
      <c r="H2297" s="2017"/>
    </row>
    <row r="2298" spans="1:8" ht="17.100000000000001" customHeight="1">
      <c r="A2298" s="1836"/>
      <c r="B2298" s="1831"/>
      <c r="C2298" s="4137" t="s">
        <v>961</v>
      </c>
      <c r="D2298" s="4137"/>
      <c r="E2298" s="1809">
        <f>SUM(E2299:E2306)</f>
        <v>554021</v>
      </c>
      <c r="F2298" s="1809">
        <f>SUM(F2299:F2306)</f>
        <v>666629</v>
      </c>
      <c r="G2298" s="1808">
        <f>SUM(G2299:G2306)</f>
        <v>811150</v>
      </c>
      <c r="H2298" s="2219">
        <f t="shared" ref="H2298:H2307" si="161">G2298/F2298</f>
        <v>1.2167937488468099</v>
      </c>
    </row>
    <row r="2299" spans="1:8" ht="17.100000000000001" customHeight="1">
      <c r="A2299" s="1836"/>
      <c r="B2299" s="1831"/>
      <c r="C2299" s="2218" t="s">
        <v>613</v>
      </c>
      <c r="D2299" s="2216" t="s">
        <v>960</v>
      </c>
      <c r="E2299" s="1850">
        <v>10000</v>
      </c>
      <c r="F2299" s="1850">
        <v>10000</v>
      </c>
      <c r="G2299" s="1849">
        <v>10000</v>
      </c>
      <c r="H2299" s="2215">
        <f t="shared" si="161"/>
        <v>1</v>
      </c>
    </row>
    <row r="2300" spans="1:8" ht="17.100000000000001" customHeight="1">
      <c r="A2300" s="1836"/>
      <c r="B2300" s="1831"/>
      <c r="C2300" s="2218" t="s">
        <v>1004</v>
      </c>
      <c r="D2300" s="2216" t="s">
        <v>1003</v>
      </c>
      <c r="E2300" s="1850">
        <v>220392</v>
      </c>
      <c r="F2300" s="1850">
        <v>220392</v>
      </c>
      <c r="G2300" s="1849">
        <v>250450</v>
      </c>
      <c r="H2300" s="2215">
        <f t="shared" si="161"/>
        <v>1.1363842607717158</v>
      </c>
    </row>
    <row r="2301" spans="1:8" ht="17.100000000000001" customHeight="1">
      <c r="A2301" s="1836"/>
      <c r="B2301" s="1831"/>
      <c r="C2301" s="2217" t="s">
        <v>1002</v>
      </c>
      <c r="D2301" s="2216" t="s">
        <v>1001</v>
      </c>
      <c r="E2301" s="1850">
        <v>310000</v>
      </c>
      <c r="F2301" s="1850">
        <v>422608</v>
      </c>
      <c r="G2301" s="1849">
        <v>535650</v>
      </c>
      <c r="H2301" s="2215">
        <f t="shared" si="161"/>
        <v>1.2674866542990195</v>
      </c>
    </row>
    <row r="2302" spans="1:8" ht="17.100000000000001" customHeight="1">
      <c r="A2302" s="1836"/>
      <c r="B2302" s="1831"/>
      <c r="C2302" s="2217" t="s">
        <v>1000</v>
      </c>
      <c r="D2302" s="2216" t="s">
        <v>999</v>
      </c>
      <c r="E2302" s="1850">
        <v>600</v>
      </c>
      <c r="F2302" s="1850">
        <v>600</v>
      </c>
      <c r="G2302" s="1849">
        <v>200</v>
      </c>
      <c r="H2302" s="2215">
        <f t="shared" si="161"/>
        <v>0.33333333333333331</v>
      </c>
    </row>
    <row r="2303" spans="1:8" ht="17.100000000000001" customHeight="1">
      <c r="A2303" s="1836"/>
      <c r="B2303" s="1831"/>
      <c r="C2303" s="2217" t="s">
        <v>959</v>
      </c>
      <c r="D2303" s="2216" t="s">
        <v>958</v>
      </c>
      <c r="E2303" s="1850">
        <v>10000</v>
      </c>
      <c r="F2303" s="1850">
        <v>10000</v>
      </c>
      <c r="G2303" s="1849">
        <v>11500</v>
      </c>
      <c r="H2303" s="2215">
        <f t="shared" si="161"/>
        <v>1.1499999999999999</v>
      </c>
    </row>
    <row r="2304" spans="1:8" ht="16.5" hidden="1" customHeight="1">
      <c r="A2304" s="1836"/>
      <c r="B2304" s="4191"/>
      <c r="C2304" s="2217" t="s">
        <v>998</v>
      </c>
      <c r="D2304" s="2216" t="s">
        <v>1090</v>
      </c>
      <c r="E2304" s="1850">
        <v>0</v>
      </c>
      <c r="F2304" s="1850"/>
      <c r="G2304" s="1849"/>
      <c r="H2304" s="2215" t="e">
        <f t="shared" si="161"/>
        <v>#DIV/0!</v>
      </c>
    </row>
    <row r="2305" spans="1:8" ht="16.5" hidden="1" customHeight="1">
      <c r="A2305" s="1836"/>
      <c r="B2305" s="4191"/>
      <c r="C2305" s="2214" t="s">
        <v>988</v>
      </c>
      <c r="D2305" s="2210" t="s">
        <v>987</v>
      </c>
      <c r="E2305" s="2213">
        <v>0</v>
      </c>
      <c r="F2305" s="2213"/>
      <c r="G2305" s="2212"/>
      <c r="H2305" s="1757" t="e">
        <f t="shared" si="161"/>
        <v>#DIV/0!</v>
      </c>
    </row>
    <row r="2306" spans="1:8" ht="17.100000000000001" customHeight="1">
      <c r="A2306" s="1836"/>
      <c r="B2306" s="4191"/>
      <c r="C2306" s="2211" t="s">
        <v>986</v>
      </c>
      <c r="D2306" s="2210" t="s">
        <v>985</v>
      </c>
      <c r="E2306" s="1850">
        <v>3029</v>
      </c>
      <c r="F2306" s="1850">
        <v>3029</v>
      </c>
      <c r="G2306" s="1849">
        <v>3350</v>
      </c>
      <c r="H2306" s="1757">
        <f t="shared" si="161"/>
        <v>1.1059755694948827</v>
      </c>
    </row>
    <row r="2307" spans="1:8" ht="17.100000000000001" hidden="1" customHeight="1">
      <c r="A2307" s="1836"/>
      <c r="B2307" s="4191"/>
      <c r="C2307" s="2209" t="s">
        <v>1089</v>
      </c>
      <c r="D2307" s="2208" t="s">
        <v>1088</v>
      </c>
      <c r="E2307" s="1850">
        <v>0</v>
      </c>
      <c r="F2307" s="1850"/>
      <c r="G2307" s="1849"/>
      <c r="H2307" s="1757" t="e">
        <f t="shared" si="161"/>
        <v>#DIV/0!</v>
      </c>
    </row>
    <row r="2308" spans="1:8" ht="17.100000000000001" customHeight="1">
      <c r="A2308" s="1836"/>
      <c r="B2308" s="4191"/>
      <c r="C2308" s="2206"/>
      <c r="D2308" s="2207"/>
      <c r="E2308" s="2206"/>
      <c r="F2308" s="1850"/>
      <c r="G2308" s="1849"/>
      <c r="H2308" s="1757"/>
    </row>
    <row r="2309" spans="1:8" ht="17.100000000000001" customHeight="1">
      <c r="A2309" s="1836"/>
      <c r="B2309" s="4191"/>
      <c r="C2309" s="4075" t="s">
        <v>952</v>
      </c>
      <c r="D2309" s="4231"/>
      <c r="E2309" s="1850">
        <f>SUM(E2310)</f>
        <v>2369</v>
      </c>
      <c r="F2309" s="1850">
        <f>SUM(F2310)</f>
        <v>2369</v>
      </c>
      <c r="G2309" s="1849">
        <f>SUM(G2310)</f>
        <v>2440</v>
      </c>
      <c r="H2309" s="1757">
        <f>G2309/F2309</f>
        <v>1.0299704516673702</v>
      </c>
    </row>
    <row r="2310" spans="1:8" ht="17.100000000000001" customHeight="1" thickBot="1">
      <c r="A2310" s="1836"/>
      <c r="B2310" s="4191"/>
      <c r="C2310" s="2101" t="s">
        <v>980</v>
      </c>
      <c r="D2310" s="2100" t="s">
        <v>979</v>
      </c>
      <c r="E2310" s="1850">
        <v>2369</v>
      </c>
      <c r="F2310" s="1850">
        <v>2369</v>
      </c>
      <c r="G2310" s="1849">
        <v>2440</v>
      </c>
      <c r="H2310" s="1757">
        <f>G2310/F2310</f>
        <v>1.0299704516673702</v>
      </c>
    </row>
    <row r="2311" spans="1:8" ht="17.100000000000001" hidden="1" customHeight="1">
      <c r="A2311" s="1822"/>
      <c r="B2311" s="1822"/>
      <c r="C2311" s="4109"/>
      <c r="D2311" s="4221"/>
      <c r="E2311" s="1904"/>
      <c r="F2311" s="1897"/>
      <c r="G2311" s="1896"/>
      <c r="H2311" s="1799"/>
    </row>
    <row r="2312" spans="1:8" ht="17.100000000000001" hidden="1" customHeight="1">
      <c r="A2312" s="1836"/>
      <c r="B2312" s="1822"/>
      <c r="C2312" s="4222" t="s">
        <v>941</v>
      </c>
      <c r="D2312" s="4222"/>
      <c r="E2312" s="2083">
        <f t="shared" ref="E2312:G2313" si="162">SUM(E2313)</f>
        <v>25000</v>
      </c>
      <c r="F2312" s="2083">
        <f t="shared" si="162"/>
        <v>25000</v>
      </c>
      <c r="G2312" s="2082">
        <f t="shared" si="162"/>
        <v>0</v>
      </c>
      <c r="H2312" s="1781">
        <f t="shared" ref="H2312:H2343" si="163">G2312/F2312</f>
        <v>0</v>
      </c>
    </row>
    <row r="2313" spans="1:8" ht="17.100000000000001" hidden="1" customHeight="1">
      <c r="A2313" s="1836"/>
      <c r="B2313" s="1822"/>
      <c r="C2313" s="4197" t="s">
        <v>940</v>
      </c>
      <c r="D2313" s="4197"/>
      <c r="E2313" s="1850">
        <f t="shared" si="162"/>
        <v>25000</v>
      </c>
      <c r="F2313" s="1850">
        <f t="shared" si="162"/>
        <v>25000</v>
      </c>
      <c r="G2313" s="1849">
        <f t="shared" si="162"/>
        <v>0</v>
      </c>
      <c r="H2313" s="1757">
        <f t="shared" si="163"/>
        <v>0</v>
      </c>
    </row>
    <row r="2314" spans="1:8" ht="17.100000000000001" hidden="1" customHeight="1" thickBot="1">
      <c r="A2314" s="1836"/>
      <c r="B2314" s="1822"/>
      <c r="C2314" s="1865" t="s">
        <v>546</v>
      </c>
      <c r="D2314" s="2092" t="s">
        <v>1023</v>
      </c>
      <c r="E2314" s="1850">
        <v>25000</v>
      </c>
      <c r="F2314" s="1850">
        <v>25000</v>
      </c>
      <c r="G2314" s="1849">
        <v>0</v>
      </c>
      <c r="H2314" s="1769">
        <f t="shared" si="163"/>
        <v>0</v>
      </c>
    </row>
    <row r="2315" spans="1:8" ht="17.100000000000001" hidden="1" customHeight="1" thickBot="1">
      <c r="A2315" s="1836"/>
      <c r="B2315" s="1768" t="s">
        <v>1103</v>
      </c>
      <c r="C2315" s="1839"/>
      <c r="D2315" s="1838" t="s">
        <v>1102</v>
      </c>
      <c r="E2315" s="1765">
        <f t="shared" ref="E2315:G2317" si="164">SUM(E2316)</f>
        <v>0</v>
      </c>
      <c r="F2315" s="1765">
        <f t="shared" si="164"/>
        <v>400000</v>
      </c>
      <c r="G2315" s="1764">
        <f t="shared" si="164"/>
        <v>0</v>
      </c>
      <c r="H2315" s="1763">
        <f t="shared" si="163"/>
        <v>0</v>
      </c>
    </row>
    <row r="2316" spans="1:8" ht="17.100000000000001" hidden="1" customHeight="1">
      <c r="A2316" s="1836"/>
      <c r="B2316" s="2205"/>
      <c r="C2316" s="4223" t="s">
        <v>944</v>
      </c>
      <c r="D2316" s="4223"/>
      <c r="E2316" s="1750">
        <f t="shared" si="164"/>
        <v>0</v>
      </c>
      <c r="F2316" s="1750">
        <f t="shared" si="164"/>
        <v>400000</v>
      </c>
      <c r="G2316" s="1749">
        <f t="shared" si="164"/>
        <v>0</v>
      </c>
      <c r="H2316" s="1814">
        <f t="shared" si="163"/>
        <v>0</v>
      </c>
    </row>
    <row r="2317" spans="1:8" ht="17.100000000000001" hidden="1" customHeight="1">
      <c r="A2317" s="1836"/>
      <c r="B2317" s="2205"/>
      <c r="C2317" s="4224" t="s">
        <v>1098</v>
      </c>
      <c r="D2317" s="4225"/>
      <c r="E2317" s="1893">
        <f t="shared" si="164"/>
        <v>0</v>
      </c>
      <c r="F2317" s="1893">
        <f t="shared" si="164"/>
        <v>400000</v>
      </c>
      <c r="G2317" s="1892">
        <f t="shared" si="164"/>
        <v>0</v>
      </c>
      <c r="H2317" s="1757">
        <f t="shared" si="163"/>
        <v>0</v>
      </c>
    </row>
    <row r="2318" spans="1:8" ht="43.5" hidden="1" customHeight="1" thickBot="1">
      <c r="A2318" s="2195"/>
      <c r="B2318" s="2204"/>
      <c r="C2318" s="2203" t="s">
        <v>91</v>
      </c>
      <c r="D2318" s="2202" t="s">
        <v>942</v>
      </c>
      <c r="E2318" s="2201">
        <v>0</v>
      </c>
      <c r="F2318" s="1739">
        <v>400000</v>
      </c>
      <c r="G2318" s="1738">
        <v>0</v>
      </c>
      <c r="H2318" s="2017">
        <f t="shared" si="163"/>
        <v>0</v>
      </c>
    </row>
    <row r="2319" spans="1:8" ht="17.100000000000001" hidden="1" customHeight="1">
      <c r="A2319" s="1836"/>
      <c r="B2319" s="2200"/>
      <c r="C2319" s="2199"/>
      <c r="D2319" s="2198"/>
      <c r="E2319" s="2197"/>
      <c r="F2319" s="1904"/>
      <c r="G2319" s="1903"/>
      <c r="H2319" s="1902" t="e">
        <f t="shared" si="163"/>
        <v>#DIV/0!</v>
      </c>
    </row>
    <row r="2320" spans="1:8" ht="17.100000000000001" hidden="1" customHeight="1">
      <c r="A2320" s="1836"/>
      <c r="B2320" s="4226"/>
      <c r="C2320" s="4094" t="s">
        <v>941</v>
      </c>
      <c r="D2320" s="4094"/>
      <c r="E2320" s="2196">
        <v>0</v>
      </c>
      <c r="F2320" s="1897"/>
      <c r="G2320" s="1896"/>
      <c r="H2320" s="1799" t="e">
        <f t="shared" si="163"/>
        <v>#DIV/0!</v>
      </c>
    </row>
    <row r="2321" spans="1:10" ht="17.100000000000001" hidden="1" customHeight="1">
      <c r="A2321" s="1836"/>
      <c r="B2321" s="4226"/>
      <c r="C2321" s="4209" t="s">
        <v>940</v>
      </c>
      <c r="D2321" s="4228"/>
      <c r="E2321" s="1897">
        <v>0</v>
      </c>
      <c r="F2321" s="1897"/>
      <c r="G2321" s="1896"/>
      <c r="H2321" s="1799" t="e">
        <f t="shared" si="163"/>
        <v>#DIV/0!</v>
      </c>
    </row>
    <row r="2322" spans="1:10" ht="41.25" hidden="1" customHeight="1" thickBot="1">
      <c r="A2322" s="2195"/>
      <c r="B2322" s="4227"/>
      <c r="C2322" s="2194" t="s">
        <v>939</v>
      </c>
      <c r="D2322" s="2193" t="s">
        <v>938</v>
      </c>
      <c r="E2322" s="2192">
        <v>0</v>
      </c>
      <c r="F2322" s="2192"/>
      <c r="G2322" s="2191"/>
      <c r="H2322" s="2190" t="e">
        <f t="shared" si="163"/>
        <v>#DIV/0!</v>
      </c>
    </row>
    <row r="2323" spans="1:10" ht="18" customHeight="1" thickBot="1">
      <c r="A2323" s="1844" t="s">
        <v>821</v>
      </c>
      <c r="B2323" s="1843"/>
      <c r="C2323" s="1842"/>
      <c r="D2323" s="1841" t="s">
        <v>1101</v>
      </c>
      <c r="E2323" s="1737">
        <f>SUM(E2324,E2330,E2381,E2411)</f>
        <v>6241583</v>
      </c>
      <c r="F2323" s="1737">
        <f>SUM(F2324,F2330,F2381,F2411)</f>
        <v>6241583</v>
      </c>
      <c r="G2323" s="1736">
        <f>SUM(G2324,G2330,G2381,G2411)</f>
        <v>8790499</v>
      </c>
      <c r="H2323" s="1735">
        <f t="shared" si="163"/>
        <v>1.4083765288389178</v>
      </c>
    </row>
    <row r="2324" spans="1:10" s="1906" customFormat="1" ht="18" customHeight="1" thickBot="1">
      <c r="A2324" s="1954"/>
      <c r="B2324" s="1971" t="s">
        <v>1100</v>
      </c>
      <c r="C2324" s="1970"/>
      <c r="D2324" s="1969" t="s">
        <v>1099</v>
      </c>
      <c r="E2324" s="1968">
        <f t="shared" ref="E2324:G2326" si="165">SUM(E2325)</f>
        <v>3750</v>
      </c>
      <c r="F2324" s="1968">
        <f t="shared" si="165"/>
        <v>3750</v>
      </c>
      <c r="G2324" s="1967">
        <f t="shared" si="165"/>
        <v>4312</v>
      </c>
      <c r="H2324" s="1966">
        <f t="shared" si="163"/>
        <v>1.1498666666666666</v>
      </c>
      <c r="J2324" s="1702"/>
    </row>
    <row r="2325" spans="1:10" s="1906" customFormat="1" ht="15.75" customHeight="1">
      <c r="A2325" s="1923"/>
      <c r="B2325" s="1922"/>
      <c r="C2325" s="4130" t="s">
        <v>944</v>
      </c>
      <c r="D2325" s="4130"/>
      <c r="E2325" s="1965">
        <f t="shared" si="165"/>
        <v>3750</v>
      </c>
      <c r="F2325" s="1965">
        <f t="shared" si="165"/>
        <v>3750</v>
      </c>
      <c r="G2325" s="1964">
        <f t="shared" si="165"/>
        <v>4312</v>
      </c>
      <c r="H2325" s="1963">
        <f t="shared" si="163"/>
        <v>1.1498666666666666</v>
      </c>
      <c r="J2325" s="1702" t="s">
        <v>1086</v>
      </c>
    </row>
    <row r="2326" spans="1:10" s="1906" customFormat="1" ht="15.75" customHeight="1">
      <c r="A2326" s="1923"/>
      <c r="B2326" s="1922"/>
      <c r="C2326" s="4173" t="s">
        <v>967</v>
      </c>
      <c r="D2326" s="4173"/>
      <c r="E2326" s="1919">
        <f t="shared" si="165"/>
        <v>3750</v>
      </c>
      <c r="F2326" s="1919">
        <f t="shared" si="165"/>
        <v>3750</v>
      </c>
      <c r="G2326" s="1918">
        <f t="shared" si="165"/>
        <v>4312</v>
      </c>
      <c r="H2326" s="1914">
        <f t="shared" si="163"/>
        <v>1.1498666666666666</v>
      </c>
      <c r="J2326" s="1702"/>
    </row>
    <row r="2327" spans="1:10" s="1906" customFormat="1" ht="15.75" customHeight="1">
      <c r="A2327" s="1923"/>
      <c r="B2327" s="1922"/>
      <c r="C2327" s="4202" t="s">
        <v>961</v>
      </c>
      <c r="D2327" s="4202"/>
      <c r="E2327" s="1961">
        <f>SUM(E2328:E2329)</f>
        <v>3750</v>
      </c>
      <c r="F2327" s="1961">
        <f>SUM(F2328:F2329)</f>
        <v>3750</v>
      </c>
      <c r="G2327" s="1960">
        <f>SUM(G2328:G2329)</f>
        <v>4312</v>
      </c>
      <c r="H2327" s="1959">
        <f t="shared" si="163"/>
        <v>1.1498666666666666</v>
      </c>
      <c r="J2327" s="1702"/>
    </row>
    <row r="2328" spans="1:10" s="1906" customFormat="1" ht="15.75" customHeight="1">
      <c r="A2328" s="1923"/>
      <c r="B2328" s="1922"/>
      <c r="C2328" s="2169" t="s">
        <v>613</v>
      </c>
      <c r="D2328" s="2159" t="s">
        <v>960</v>
      </c>
      <c r="E2328" s="1919">
        <v>1583</v>
      </c>
      <c r="F2328" s="1919">
        <v>1583</v>
      </c>
      <c r="G2328" s="1918">
        <v>1642</v>
      </c>
      <c r="H2328" s="1914">
        <f t="shared" si="163"/>
        <v>1.0372710044219835</v>
      </c>
      <c r="J2328" s="1702"/>
    </row>
    <row r="2329" spans="1:10" s="1906" customFormat="1" ht="15.75" customHeight="1" thickBot="1">
      <c r="A2329" s="1912"/>
      <c r="B2329" s="1912"/>
      <c r="C2329" s="2189" t="s">
        <v>959</v>
      </c>
      <c r="D2329" s="2058" t="s">
        <v>958</v>
      </c>
      <c r="E2329" s="1916">
        <v>2167</v>
      </c>
      <c r="F2329" s="1916">
        <v>2167</v>
      </c>
      <c r="G2329" s="1915">
        <v>2670</v>
      </c>
      <c r="H2329" s="1907">
        <f t="shared" si="163"/>
        <v>1.2321181356714352</v>
      </c>
      <c r="J2329" s="1702"/>
    </row>
    <row r="2330" spans="1:10" s="1906" customFormat="1" ht="15" customHeight="1" thickBot="1">
      <c r="A2330" s="1954"/>
      <c r="B2330" s="1971" t="s">
        <v>820</v>
      </c>
      <c r="C2330" s="1985"/>
      <c r="D2330" s="1969" t="s">
        <v>374</v>
      </c>
      <c r="E2330" s="1968">
        <f t="shared" ref="E2330:G2332" si="166">SUM(E2331)</f>
        <v>250000</v>
      </c>
      <c r="F2330" s="1968">
        <f t="shared" si="166"/>
        <v>250000</v>
      </c>
      <c r="G2330" s="1967">
        <f t="shared" si="166"/>
        <v>275000</v>
      </c>
      <c r="H2330" s="1966">
        <f t="shared" si="163"/>
        <v>1.1000000000000001</v>
      </c>
      <c r="J2330" s="1702"/>
    </row>
    <row r="2331" spans="1:10" s="1906" customFormat="1" ht="12.75" customHeight="1">
      <c r="A2331" s="1923"/>
      <c r="B2331" s="1922"/>
      <c r="C2331" s="4130" t="s">
        <v>944</v>
      </c>
      <c r="D2331" s="4130"/>
      <c r="E2331" s="1965">
        <f t="shared" si="166"/>
        <v>250000</v>
      </c>
      <c r="F2331" s="1965">
        <f t="shared" si="166"/>
        <v>250000</v>
      </c>
      <c r="G2331" s="1964">
        <f t="shared" si="166"/>
        <v>275000</v>
      </c>
      <c r="H2331" s="1963">
        <f t="shared" si="163"/>
        <v>1.1000000000000001</v>
      </c>
      <c r="J2331" s="1702" t="s">
        <v>1086</v>
      </c>
    </row>
    <row r="2332" spans="1:10" s="1906" customFormat="1" ht="16.5" customHeight="1">
      <c r="A2332" s="1923"/>
      <c r="B2332" s="1922"/>
      <c r="C2332" s="4215" t="s">
        <v>1098</v>
      </c>
      <c r="D2332" s="4216"/>
      <c r="E2332" s="1919">
        <f t="shared" si="166"/>
        <v>250000</v>
      </c>
      <c r="F2332" s="1919">
        <f t="shared" si="166"/>
        <v>250000</v>
      </c>
      <c r="G2332" s="1918">
        <f t="shared" si="166"/>
        <v>275000</v>
      </c>
      <c r="H2332" s="1914">
        <f t="shared" si="163"/>
        <v>1.1000000000000001</v>
      </c>
      <c r="J2332" s="1702"/>
    </row>
    <row r="2333" spans="1:10" s="1906" customFormat="1" ht="55.5" customHeight="1" thickBot="1">
      <c r="A2333" s="1923"/>
      <c r="B2333" s="1922"/>
      <c r="C2333" s="2169" t="s">
        <v>112</v>
      </c>
      <c r="D2333" s="2159" t="s">
        <v>956</v>
      </c>
      <c r="E2333" s="2188">
        <v>250000</v>
      </c>
      <c r="F2333" s="1919">
        <v>250000</v>
      </c>
      <c r="G2333" s="1918">
        <v>275000</v>
      </c>
      <c r="H2333" s="1914">
        <f t="shared" si="163"/>
        <v>1.1000000000000001</v>
      </c>
      <c r="J2333" s="1702"/>
    </row>
    <row r="2334" spans="1:10" ht="13.5" hidden="1" thickBot="1">
      <c r="A2334" s="1836"/>
      <c r="B2334" s="1822"/>
      <c r="C2334" s="2187"/>
      <c r="D2334" s="2187"/>
      <c r="E2334" s="2186"/>
      <c r="F2334" s="1897"/>
      <c r="G2334" s="1896"/>
      <c r="H2334" s="1799" t="e">
        <f t="shared" si="163"/>
        <v>#DIV/0!</v>
      </c>
    </row>
    <row r="2335" spans="1:10" ht="19.5" hidden="1" customHeight="1" thickBot="1">
      <c r="A2335" s="1836"/>
      <c r="B2335" s="1822"/>
      <c r="C2335" s="4217" t="s">
        <v>976</v>
      </c>
      <c r="D2335" s="4217"/>
      <c r="E2335" s="1898">
        <v>0</v>
      </c>
      <c r="F2335" s="1897"/>
      <c r="G2335" s="1896"/>
      <c r="H2335" s="1799" t="e">
        <f t="shared" si="163"/>
        <v>#DIV/0!</v>
      </c>
    </row>
    <row r="2336" spans="1:10" ht="51.75" hidden="1" thickBot="1">
      <c r="A2336" s="1836"/>
      <c r="B2336" s="1822"/>
      <c r="C2336" s="2178" t="s">
        <v>183</v>
      </c>
      <c r="D2336" s="2180" t="s">
        <v>1095</v>
      </c>
      <c r="E2336" s="1898">
        <v>0</v>
      </c>
      <c r="F2336" s="1897"/>
      <c r="G2336" s="1896"/>
      <c r="H2336" s="1799" t="e">
        <f t="shared" si="163"/>
        <v>#DIV/0!</v>
      </c>
    </row>
    <row r="2337" spans="1:8" ht="15.75" hidden="1" customHeight="1" thickBot="1">
      <c r="A2337" s="1836"/>
      <c r="B2337" s="1822"/>
      <c r="C2337" s="2178" t="s">
        <v>462</v>
      </c>
      <c r="D2337" s="2177" t="s">
        <v>1015</v>
      </c>
      <c r="E2337" s="1898">
        <v>0</v>
      </c>
      <c r="F2337" s="1897"/>
      <c r="G2337" s="1896"/>
      <c r="H2337" s="1799" t="e">
        <f t="shared" si="163"/>
        <v>#DIV/0!</v>
      </c>
    </row>
    <row r="2338" spans="1:8" ht="15.75" hidden="1" customHeight="1" thickBot="1">
      <c r="A2338" s="1836"/>
      <c r="B2338" s="1822"/>
      <c r="C2338" s="2178" t="s">
        <v>461</v>
      </c>
      <c r="D2338" s="2177" t="s">
        <v>1015</v>
      </c>
      <c r="E2338" s="1898">
        <v>0</v>
      </c>
      <c r="F2338" s="1897"/>
      <c r="G2338" s="1896"/>
      <c r="H2338" s="1799" t="e">
        <f t="shared" si="163"/>
        <v>#DIV/0!</v>
      </c>
    </row>
    <row r="2339" spans="1:8" ht="15.75" hidden="1" customHeight="1" thickBot="1">
      <c r="A2339" s="1836"/>
      <c r="B2339" s="1822"/>
      <c r="C2339" s="2178" t="s">
        <v>494</v>
      </c>
      <c r="D2339" s="2177" t="s">
        <v>1013</v>
      </c>
      <c r="E2339" s="1898">
        <v>0</v>
      </c>
      <c r="F2339" s="1897"/>
      <c r="G2339" s="1896"/>
      <c r="H2339" s="1799" t="e">
        <f t="shared" si="163"/>
        <v>#DIV/0!</v>
      </c>
    </row>
    <row r="2340" spans="1:8" ht="15.75" hidden="1" customHeight="1" thickBot="1">
      <c r="A2340" s="1836"/>
      <c r="B2340" s="1822"/>
      <c r="C2340" s="2178" t="s">
        <v>493</v>
      </c>
      <c r="D2340" s="2177" t="s">
        <v>1013</v>
      </c>
      <c r="E2340" s="1898">
        <v>0</v>
      </c>
      <c r="F2340" s="1897"/>
      <c r="G2340" s="1896"/>
      <c r="H2340" s="1799" t="e">
        <f t="shared" si="163"/>
        <v>#DIV/0!</v>
      </c>
    </row>
    <row r="2341" spans="1:8" ht="15.75" hidden="1" customHeight="1" thickBot="1">
      <c r="A2341" s="1836"/>
      <c r="B2341" s="1822"/>
      <c r="C2341" s="2178" t="s">
        <v>460</v>
      </c>
      <c r="D2341" s="2177" t="s">
        <v>964</v>
      </c>
      <c r="E2341" s="1898">
        <v>0</v>
      </c>
      <c r="F2341" s="1897"/>
      <c r="G2341" s="1896"/>
      <c r="H2341" s="1799" t="e">
        <f t="shared" si="163"/>
        <v>#DIV/0!</v>
      </c>
    </row>
    <row r="2342" spans="1:8" ht="15.75" hidden="1" customHeight="1" thickBot="1">
      <c r="A2342" s="1836"/>
      <c r="B2342" s="1822"/>
      <c r="C2342" s="2178" t="s">
        <v>459</v>
      </c>
      <c r="D2342" s="2177" t="s">
        <v>964</v>
      </c>
      <c r="E2342" s="1898">
        <v>0</v>
      </c>
      <c r="F2342" s="1897"/>
      <c r="G2342" s="1896"/>
      <c r="H2342" s="1799" t="e">
        <f t="shared" si="163"/>
        <v>#DIV/0!</v>
      </c>
    </row>
    <row r="2343" spans="1:8" ht="27.75" hidden="1" customHeight="1" thickBot="1">
      <c r="A2343" s="1836"/>
      <c r="B2343" s="1822"/>
      <c r="C2343" s="2178" t="s">
        <v>458</v>
      </c>
      <c r="D2343" s="2177" t="s">
        <v>1062</v>
      </c>
      <c r="E2343" s="1898">
        <v>0</v>
      </c>
      <c r="F2343" s="1897"/>
      <c r="G2343" s="1896"/>
      <c r="H2343" s="1799" t="e">
        <f t="shared" si="163"/>
        <v>#DIV/0!</v>
      </c>
    </row>
    <row r="2344" spans="1:8" ht="27" hidden="1" customHeight="1" thickBot="1">
      <c r="A2344" s="1836"/>
      <c r="B2344" s="1822"/>
      <c r="C2344" s="2178" t="s">
        <v>457</v>
      </c>
      <c r="D2344" s="2177" t="s">
        <v>1062</v>
      </c>
      <c r="E2344" s="1898">
        <v>0</v>
      </c>
      <c r="F2344" s="1897"/>
      <c r="G2344" s="1896"/>
      <c r="H2344" s="1799" t="e">
        <f t="shared" ref="H2344:H2375" si="167">G2344/F2344</f>
        <v>#DIV/0!</v>
      </c>
    </row>
    <row r="2345" spans="1:8" ht="15.75" hidden="1" customHeight="1" thickBot="1">
      <c r="A2345" s="1836"/>
      <c r="B2345" s="1822"/>
      <c r="C2345" s="2178" t="s">
        <v>450</v>
      </c>
      <c r="D2345" s="2177" t="s">
        <v>960</v>
      </c>
      <c r="E2345" s="1898">
        <v>0</v>
      </c>
      <c r="F2345" s="1897"/>
      <c r="G2345" s="1896"/>
      <c r="H2345" s="1799" t="e">
        <f t="shared" si="167"/>
        <v>#DIV/0!</v>
      </c>
    </row>
    <row r="2346" spans="1:8" ht="15.75" hidden="1" customHeight="1" thickBot="1">
      <c r="A2346" s="1836"/>
      <c r="B2346" s="1822"/>
      <c r="C2346" s="2185" t="s">
        <v>449</v>
      </c>
      <c r="D2346" s="2177" t="s">
        <v>960</v>
      </c>
      <c r="E2346" s="1898">
        <v>0</v>
      </c>
      <c r="F2346" s="1897"/>
      <c r="G2346" s="1896"/>
      <c r="H2346" s="1799" t="e">
        <f t="shared" si="167"/>
        <v>#DIV/0!</v>
      </c>
    </row>
    <row r="2347" spans="1:8" ht="15.75" hidden="1" customHeight="1" thickBot="1">
      <c r="A2347" s="1836"/>
      <c r="B2347" s="1822"/>
      <c r="C2347" s="2178" t="s">
        <v>446</v>
      </c>
      <c r="D2347" s="2177" t="s">
        <v>958</v>
      </c>
      <c r="E2347" s="1898">
        <v>0</v>
      </c>
      <c r="F2347" s="1897"/>
      <c r="G2347" s="1896"/>
      <c r="H2347" s="1799" t="e">
        <f t="shared" si="167"/>
        <v>#DIV/0!</v>
      </c>
    </row>
    <row r="2348" spans="1:8" ht="15" hidden="1" customHeight="1" thickBot="1">
      <c r="A2348" s="1836"/>
      <c r="B2348" s="1822"/>
      <c r="C2348" s="2184" t="s">
        <v>445</v>
      </c>
      <c r="D2348" s="2183" t="s">
        <v>958</v>
      </c>
      <c r="E2348" s="1898">
        <v>0</v>
      </c>
      <c r="F2348" s="1897"/>
      <c r="G2348" s="1896"/>
      <c r="H2348" s="1799" t="e">
        <f t="shared" si="167"/>
        <v>#DIV/0!</v>
      </c>
    </row>
    <row r="2349" spans="1:8" ht="15" hidden="1" customHeight="1" thickBot="1">
      <c r="A2349" s="1836"/>
      <c r="B2349" s="1822"/>
      <c r="C2349" s="2174" t="s">
        <v>489</v>
      </c>
      <c r="D2349" s="2173" t="s">
        <v>985</v>
      </c>
      <c r="E2349" s="1898">
        <v>0</v>
      </c>
      <c r="F2349" s="1897"/>
      <c r="G2349" s="1896"/>
      <c r="H2349" s="1799" t="e">
        <f t="shared" si="167"/>
        <v>#DIV/0!</v>
      </c>
    </row>
    <row r="2350" spans="1:8" ht="15" hidden="1" customHeight="1" thickBot="1">
      <c r="A2350" s="1836"/>
      <c r="B2350" s="1829" t="s">
        <v>1097</v>
      </c>
      <c r="C2350" s="2182"/>
      <c r="D2350" s="1827" t="s">
        <v>1096</v>
      </c>
      <c r="E2350" s="2181">
        <v>0</v>
      </c>
      <c r="F2350" s="1897"/>
      <c r="G2350" s="1896"/>
      <c r="H2350" s="1799" t="e">
        <f t="shared" si="167"/>
        <v>#DIV/0!</v>
      </c>
    </row>
    <row r="2351" spans="1:8" ht="15" hidden="1" customHeight="1" thickBot="1">
      <c r="A2351" s="1836"/>
      <c r="B2351" s="1822"/>
      <c r="C2351" s="4094" t="s">
        <v>944</v>
      </c>
      <c r="D2351" s="4094"/>
      <c r="E2351" s="2000">
        <v>0</v>
      </c>
      <c r="F2351" s="1897"/>
      <c r="G2351" s="1896"/>
      <c r="H2351" s="1799" t="e">
        <f t="shared" si="167"/>
        <v>#DIV/0!</v>
      </c>
    </row>
    <row r="2352" spans="1:8" ht="15" hidden="1" customHeight="1" thickBot="1">
      <c r="A2352" s="1836"/>
      <c r="B2352" s="1822"/>
      <c r="C2352" s="4217" t="s">
        <v>976</v>
      </c>
      <c r="D2352" s="4217"/>
      <c r="E2352" s="1897">
        <v>0</v>
      </c>
      <c r="F2352" s="1897"/>
      <c r="G2352" s="1896"/>
      <c r="H2352" s="1799" t="e">
        <f t="shared" si="167"/>
        <v>#DIV/0!</v>
      </c>
    </row>
    <row r="2353" spans="1:8" ht="55.5" hidden="1" customHeight="1" thickBot="1">
      <c r="A2353" s="1836"/>
      <c r="B2353" s="1822"/>
      <c r="C2353" s="2178" t="s">
        <v>183</v>
      </c>
      <c r="D2353" s="2180" t="s">
        <v>1095</v>
      </c>
      <c r="E2353" s="1904">
        <v>0</v>
      </c>
      <c r="F2353" s="1897"/>
      <c r="G2353" s="1896"/>
      <c r="H2353" s="1799" t="e">
        <f t="shared" si="167"/>
        <v>#DIV/0!</v>
      </c>
    </row>
    <row r="2354" spans="1:8" ht="16.5" hidden="1" customHeight="1" thickBot="1">
      <c r="A2354" s="1836"/>
      <c r="B2354" s="1822"/>
      <c r="C2354" s="2178" t="s">
        <v>462</v>
      </c>
      <c r="D2354" s="2177" t="s">
        <v>1015</v>
      </c>
      <c r="E2354" s="1904">
        <v>0</v>
      </c>
      <c r="F2354" s="1897"/>
      <c r="G2354" s="1896"/>
      <c r="H2354" s="1799" t="e">
        <f t="shared" si="167"/>
        <v>#DIV/0!</v>
      </c>
    </row>
    <row r="2355" spans="1:8" ht="19.5" hidden="1" customHeight="1" thickBot="1">
      <c r="A2355" s="1836"/>
      <c r="B2355" s="1822"/>
      <c r="C2355" s="2178" t="s">
        <v>494</v>
      </c>
      <c r="D2355" s="2177" t="s">
        <v>1013</v>
      </c>
      <c r="E2355" s="1904">
        <v>0</v>
      </c>
      <c r="F2355" s="1897"/>
      <c r="G2355" s="1896"/>
      <c r="H2355" s="1799" t="e">
        <f t="shared" si="167"/>
        <v>#DIV/0!</v>
      </c>
    </row>
    <row r="2356" spans="1:8" ht="19.5" hidden="1" customHeight="1" thickBot="1">
      <c r="A2356" s="1836"/>
      <c r="B2356" s="1822"/>
      <c r="C2356" s="2178" t="s">
        <v>460</v>
      </c>
      <c r="D2356" s="2177" t="s">
        <v>964</v>
      </c>
      <c r="E2356" s="1904">
        <v>0</v>
      </c>
      <c r="F2356" s="1897"/>
      <c r="G2356" s="1896"/>
      <c r="H2356" s="1799" t="e">
        <f t="shared" si="167"/>
        <v>#DIV/0!</v>
      </c>
    </row>
    <row r="2357" spans="1:8" ht="26.25" hidden="1" customHeight="1" thickBot="1">
      <c r="A2357" s="1836"/>
      <c r="B2357" s="1822"/>
      <c r="C2357" s="2178" t="s">
        <v>458</v>
      </c>
      <c r="D2357" s="2177" t="s">
        <v>1062</v>
      </c>
      <c r="E2357" s="1904">
        <v>0</v>
      </c>
      <c r="F2357" s="1897"/>
      <c r="G2357" s="1896"/>
      <c r="H2357" s="1799" t="e">
        <f t="shared" si="167"/>
        <v>#DIV/0!</v>
      </c>
    </row>
    <row r="2358" spans="1:8" ht="18.75" hidden="1" customHeight="1" thickBot="1">
      <c r="A2358" s="1836"/>
      <c r="B2358" s="1822"/>
      <c r="C2358" s="2178" t="s">
        <v>456</v>
      </c>
      <c r="D2358" s="2177" t="s">
        <v>973</v>
      </c>
      <c r="E2358" s="1904">
        <v>0</v>
      </c>
      <c r="F2358" s="1897"/>
      <c r="G2358" s="1896"/>
      <c r="H2358" s="1799" t="e">
        <f t="shared" si="167"/>
        <v>#DIV/0!</v>
      </c>
    </row>
    <row r="2359" spans="1:8" ht="18" hidden="1" customHeight="1" thickBot="1">
      <c r="A2359" s="1836"/>
      <c r="B2359" s="1822"/>
      <c r="C2359" s="2178" t="s">
        <v>450</v>
      </c>
      <c r="D2359" s="2177" t="s">
        <v>960</v>
      </c>
      <c r="E2359" s="1904">
        <v>0</v>
      </c>
      <c r="F2359" s="1897"/>
      <c r="G2359" s="1896"/>
      <c r="H2359" s="1799" t="e">
        <f t="shared" si="167"/>
        <v>#DIV/0!</v>
      </c>
    </row>
    <row r="2360" spans="1:8" ht="16.5" hidden="1" customHeight="1" thickBot="1">
      <c r="A2360" s="1836"/>
      <c r="B2360" s="1822"/>
      <c r="C2360" s="2178" t="s">
        <v>469</v>
      </c>
      <c r="D2360" s="2177" t="s">
        <v>1005</v>
      </c>
      <c r="E2360" s="1904">
        <v>0</v>
      </c>
      <c r="F2360" s="1897"/>
      <c r="G2360" s="1896"/>
      <c r="H2360" s="1799" t="e">
        <f t="shared" si="167"/>
        <v>#DIV/0!</v>
      </c>
    </row>
    <row r="2361" spans="1:8" ht="16.5" hidden="1" customHeight="1" thickBot="1">
      <c r="A2361" s="1836"/>
      <c r="B2361" s="1822"/>
      <c r="C2361" s="2002" t="s">
        <v>448</v>
      </c>
      <c r="D2361" s="2001" t="s">
        <v>1003</v>
      </c>
      <c r="E2361" s="1904">
        <v>0</v>
      </c>
      <c r="F2361" s="1897"/>
      <c r="G2361" s="1896"/>
      <c r="H2361" s="1799" t="e">
        <f t="shared" si="167"/>
        <v>#DIV/0!</v>
      </c>
    </row>
    <row r="2362" spans="1:8" ht="18" hidden="1" customHeight="1" thickBot="1">
      <c r="A2362" s="1836"/>
      <c r="B2362" s="1822"/>
      <c r="C2362" s="2176" t="s">
        <v>512</v>
      </c>
      <c r="D2362" s="2179" t="s">
        <v>999</v>
      </c>
      <c r="E2362" s="1904">
        <v>0</v>
      </c>
      <c r="F2362" s="1897"/>
      <c r="G2362" s="1896"/>
      <c r="H2362" s="1799" t="e">
        <f t="shared" si="167"/>
        <v>#DIV/0!</v>
      </c>
    </row>
    <row r="2363" spans="1:8" ht="18" hidden="1" customHeight="1" thickBot="1">
      <c r="A2363" s="1836"/>
      <c r="B2363" s="1822"/>
      <c r="C2363" s="2002" t="s">
        <v>446</v>
      </c>
      <c r="D2363" s="2179" t="s">
        <v>958</v>
      </c>
      <c r="E2363" s="1904">
        <v>0</v>
      </c>
      <c r="F2363" s="1897"/>
      <c r="G2363" s="1896"/>
      <c r="H2363" s="1799" t="e">
        <f t="shared" si="167"/>
        <v>#DIV/0!</v>
      </c>
    </row>
    <row r="2364" spans="1:8" ht="18.75" hidden="1" customHeight="1" thickBot="1">
      <c r="A2364" s="1836"/>
      <c r="B2364" s="1822"/>
      <c r="C2364" s="2176" t="s">
        <v>445</v>
      </c>
      <c r="D2364" s="2179" t="s">
        <v>958</v>
      </c>
      <c r="E2364" s="1904">
        <v>0</v>
      </c>
      <c r="F2364" s="1897"/>
      <c r="G2364" s="1896"/>
      <c r="H2364" s="1799" t="e">
        <f t="shared" si="167"/>
        <v>#DIV/0!</v>
      </c>
    </row>
    <row r="2365" spans="1:8" ht="20.25" hidden="1" customHeight="1" thickBot="1">
      <c r="A2365" s="1836"/>
      <c r="B2365" s="1822"/>
      <c r="C2365" s="2002" t="s">
        <v>444</v>
      </c>
      <c r="D2365" s="2001" t="s">
        <v>997</v>
      </c>
      <c r="E2365" s="1904">
        <v>0</v>
      </c>
      <c r="F2365" s="1897"/>
      <c r="G2365" s="1896"/>
      <c r="H2365" s="1799" t="e">
        <f t="shared" si="167"/>
        <v>#DIV/0!</v>
      </c>
    </row>
    <row r="2366" spans="1:8" ht="19.5" hidden="1" customHeight="1" thickBot="1">
      <c r="A2366" s="1836"/>
      <c r="B2366" s="1822"/>
      <c r="C2366" s="2176" t="s">
        <v>467</v>
      </c>
      <c r="D2366" s="2175" t="s">
        <v>991</v>
      </c>
      <c r="E2366" s="1904">
        <v>0</v>
      </c>
      <c r="F2366" s="1897"/>
      <c r="G2366" s="1896"/>
      <c r="H2366" s="1799" t="e">
        <f t="shared" si="167"/>
        <v>#DIV/0!</v>
      </c>
    </row>
    <row r="2367" spans="1:8" ht="20.25" hidden="1" customHeight="1" thickBot="1">
      <c r="A2367" s="1836"/>
      <c r="B2367" s="1822"/>
      <c r="C2367" s="2002" t="s">
        <v>490</v>
      </c>
      <c r="D2367" s="2001" t="s">
        <v>985</v>
      </c>
      <c r="E2367" s="1904">
        <v>0</v>
      </c>
      <c r="F2367" s="1897"/>
      <c r="G2367" s="1896"/>
      <c r="H2367" s="1799" t="e">
        <f t="shared" si="167"/>
        <v>#DIV/0!</v>
      </c>
    </row>
    <row r="2368" spans="1:8" ht="19.5" hidden="1" customHeight="1" thickBot="1">
      <c r="A2368" s="1836"/>
      <c r="B2368" s="1822"/>
      <c r="C2368" s="2176" t="s">
        <v>1094</v>
      </c>
      <c r="D2368" s="2175" t="s">
        <v>983</v>
      </c>
      <c r="E2368" s="1904">
        <v>0</v>
      </c>
      <c r="F2368" s="1897"/>
      <c r="G2368" s="1896"/>
      <c r="H2368" s="1799" t="e">
        <f t="shared" si="167"/>
        <v>#DIV/0!</v>
      </c>
    </row>
    <row r="2369" spans="1:10" ht="18.75" hidden="1" customHeight="1" thickBot="1">
      <c r="A2369" s="1836"/>
      <c r="B2369" s="1822"/>
      <c r="C2369" s="2002" t="s">
        <v>1093</v>
      </c>
      <c r="D2369" s="2001" t="s">
        <v>1092</v>
      </c>
      <c r="E2369" s="1904">
        <v>0</v>
      </c>
      <c r="F2369" s="1897"/>
      <c r="G2369" s="1896"/>
      <c r="H2369" s="1799" t="e">
        <f t="shared" si="167"/>
        <v>#DIV/0!</v>
      </c>
    </row>
    <row r="2370" spans="1:10" ht="15" hidden="1" customHeight="1" thickBot="1">
      <c r="A2370" s="1836"/>
      <c r="B2370" s="1822"/>
      <c r="C2370" s="4218"/>
      <c r="D2370" s="4219"/>
      <c r="E2370" s="1897"/>
      <c r="F2370" s="1897"/>
      <c r="G2370" s="1896"/>
      <c r="H2370" s="1799" t="e">
        <f t="shared" si="167"/>
        <v>#DIV/0!</v>
      </c>
    </row>
    <row r="2371" spans="1:10" ht="15" hidden="1" customHeight="1" thickBot="1">
      <c r="A2371" s="1836"/>
      <c r="B2371" s="1822"/>
      <c r="C2371" s="4220" t="s">
        <v>941</v>
      </c>
      <c r="D2371" s="4220"/>
      <c r="E2371" s="2000">
        <v>0</v>
      </c>
      <c r="F2371" s="1897"/>
      <c r="G2371" s="1896"/>
      <c r="H2371" s="1799" t="e">
        <f t="shared" si="167"/>
        <v>#DIV/0!</v>
      </c>
    </row>
    <row r="2372" spans="1:10" ht="18" hidden="1" customHeight="1" thickBot="1">
      <c r="A2372" s="1836"/>
      <c r="B2372" s="1822"/>
      <c r="C2372" s="4209" t="s">
        <v>940</v>
      </c>
      <c r="D2372" s="4209"/>
      <c r="E2372" s="1897">
        <v>0</v>
      </c>
      <c r="F2372" s="1897"/>
      <c r="G2372" s="1896"/>
      <c r="H2372" s="1799" t="e">
        <f t="shared" si="167"/>
        <v>#DIV/0!</v>
      </c>
    </row>
    <row r="2373" spans="1:10" ht="16.5" hidden="1" customHeight="1" thickBot="1">
      <c r="A2373" s="1836"/>
      <c r="B2373" s="1822"/>
      <c r="C2373" s="2178" t="s">
        <v>506</v>
      </c>
      <c r="D2373" s="2177" t="s">
        <v>1023</v>
      </c>
      <c r="E2373" s="1897">
        <v>0</v>
      </c>
      <c r="F2373" s="1897"/>
      <c r="G2373" s="1896"/>
      <c r="H2373" s="1799" t="e">
        <f t="shared" si="167"/>
        <v>#DIV/0!</v>
      </c>
    </row>
    <row r="2374" spans="1:10" ht="18.75" hidden="1" customHeight="1" thickBot="1">
      <c r="A2374" s="1836"/>
      <c r="B2374" s="1822"/>
      <c r="C2374" s="2178" t="s">
        <v>504</v>
      </c>
      <c r="D2374" s="2177" t="s">
        <v>1072</v>
      </c>
      <c r="E2374" s="1897">
        <v>0</v>
      </c>
      <c r="F2374" s="1897"/>
      <c r="G2374" s="1896"/>
      <c r="H2374" s="1799" t="e">
        <f t="shared" si="167"/>
        <v>#DIV/0!</v>
      </c>
    </row>
    <row r="2375" spans="1:10" ht="16.5" hidden="1" customHeight="1" thickBot="1">
      <c r="A2375" s="1836"/>
      <c r="B2375" s="1822"/>
      <c r="C2375" s="2178" t="s">
        <v>569</v>
      </c>
      <c r="D2375" s="2177" t="s">
        <v>1072</v>
      </c>
      <c r="E2375" s="1897">
        <v>0</v>
      </c>
      <c r="F2375" s="1897"/>
      <c r="G2375" s="1896"/>
      <c r="H2375" s="1799" t="e">
        <f t="shared" si="167"/>
        <v>#DIV/0!</v>
      </c>
    </row>
    <row r="2376" spans="1:10" ht="15" hidden="1" customHeight="1" thickBot="1">
      <c r="A2376" s="1836"/>
      <c r="B2376" s="1822"/>
      <c r="C2376" s="4210"/>
      <c r="D2376" s="4211"/>
      <c r="E2376" s="1898"/>
      <c r="F2376" s="1897"/>
      <c r="G2376" s="1896"/>
      <c r="H2376" s="1799" t="e">
        <f t="shared" ref="H2376:H2390" si="168">G2376/F2376</f>
        <v>#DIV/0!</v>
      </c>
    </row>
    <row r="2377" spans="1:10" ht="16.5" hidden="1" customHeight="1" thickBot="1">
      <c r="A2377" s="1836"/>
      <c r="B2377" s="1822"/>
      <c r="C2377" s="4212" t="s">
        <v>1024</v>
      </c>
      <c r="D2377" s="4213"/>
      <c r="E2377" s="1897">
        <v>0</v>
      </c>
      <c r="F2377" s="1897"/>
      <c r="G2377" s="1896"/>
      <c r="H2377" s="1799" t="e">
        <f t="shared" si="168"/>
        <v>#DIV/0!</v>
      </c>
    </row>
    <row r="2378" spans="1:10" ht="18.75" hidden="1" customHeight="1" thickBot="1">
      <c r="A2378" s="1836"/>
      <c r="B2378" s="1822"/>
      <c r="C2378" s="2176" t="s">
        <v>506</v>
      </c>
      <c r="D2378" s="2175" t="s">
        <v>1023</v>
      </c>
      <c r="E2378" s="1897">
        <v>0</v>
      </c>
      <c r="F2378" s="1897"/>
      <c r="G2378" s="1896"/>
      <c r="H2378" s="1799" t="e">
        <f t="shared" si="168"/>
        <v>#DIV/0!</v>
      </c>
    </row>
    <row r="2379" spans="1:10" ht="18" hidden="1" customHeight="1" thickBot="1">
      <c r="A2379" s="1836"/>
      <c r="B2379" s="1822"/>
      <c r="C2379" s="2002" t="s">
        <v>504</v>
      </c>
      <c r="D2379" s="2001" t="s">
        <v>1072</v>
      </c>
      <c r="E2379" s="1897">
        <v>0</v>
      </c>
      <c r="F2379" s="1897"/>
      <c r="G2379" s="1896"/>
      <c r="H2379" s="1799" t="e">
        <f t="shared" si="168"/>
        <v>#DIV/0!</v>
      </c>
    </row>
    <row r="2380" spans="1:10" ht="17.25" hidden="1" customHeight="1" thickBot="1">
      <c r="A2380" s="1836"/>
      <c r="B2380" s="1822"/>
      <c r="C2380" s="2174" t="s">
        <v>569</v>
      </c>
      <c r="D2380" s="2173" t="s">
        <v>1072</v>
      </c>
      <c r="E2380" s="1897">
        <v>0</v>
      </c>
      <c r="F2380" s="1897"/>
      <c r="G2380" s="1896"/>
      <c r="H2380" s="1784" t="e">
        <f t="shared" si="168"/>
        <v>#DIV/0!</v>
      </c>
    </row>
    <row r="2381" spans="1:10" s="1906" customFormat="1" ht="15.75" customHeight="1" thickBot="1">
      <c r="A2381" s="1923"/>
      <c r="B2381" s="1971" t="s">
        <v>1091</v>
      </c>
      <c r="C2381" s="1970"/>
      <c r="D2381" s="1969" t="s">
        <v>378</v>
      </c>
      <c r="E2381" s="1968">
        <f>SUM(E2382)</f>
        <v>1596000</v>
      </c>
      <c r="F2381" s="1968">
        <f>SUM(F2382)</f>
        <v>1596000</v>
      </c>
      <c r="G2381" s="1967">
        <f>SUM(G2382)</f>
        <v>1758000</v>
      </c>
      <c r="H2381" s="1966">
        <f t="shared" si="168"/>
        <v>1.1015037593984962</v>
      </c>
      <c r="J2381" s="1702"/>
    </row>
    <row r="2382" spans="1:10" s="1906" customFormat="1" ht="15.75" customHeight="1">
      <c r="A2382" s="1923"/>
      <c r="B2382" s="1922"/>
      <c r="C2382" s="4130" t="s">
        <v>944</v>
      </c>
      <c r="D2382" s="4130"/>
      <c r="E2382" s="1965">
        <f>SUM(E2383,E2409)</f>
        <v>1596000</v>
      </c>
      <c r="F2382" s="1965">
        <f>SUM(F2383,F2409)</f>
        <v>1596000</v>
      </c>
      <c r="G2382" s="1964">
        <f>SUM(G2383,G2409)</f>
        <v>1758000</v>
      </c>
      <c r="H2382" s="1963">
        <f t="shared" si="168"/>
        <v>1.1015037593984962</v>
      </c>
      <c r="J2382" s="1702" t="s">
        <v>1086</v>
      </c>
    </row>
    <row r="2383" spans="1:10" s="1906" customFormat="1" ht="15.75" customHeight="1">
      <c r="A2383" s="1923"/>
      <c r="B2383" s="1922"/>
      <c r="C2383" s="4173" t="s">
        <v>967</v>
      </c>
      <c r="D2383" s="4173"/>
      <c r="E2383" s="1919">
        <f>SUM(E2384,E2392)</f>
        <v>1591867</v>
      </c>
      <c r="F2383" s="1919">
        <f>SUM(F2384,F2392)</f>
        <v>1591867</v>
      </c>
      <c r="G2383" s="1918">
        <f>SUM(G2384,G2392)</f>
        <v>1750945</v>
      </c>
      <c r="H2383" s="1914">
        <f t="shared" si="168"/>
        <v>1.099931715400847</v>
      </c>
      <c r="J2383" s="1702"/>
    </row>
    <row r="2384" spans="1:10" s="1906" customFormat="1" ht="15.75" customHeight="1">
      <c r="A2384" s="1923"/>
      <c r="B2384" s="1922"/>
      <c r="C2384" s="4121" t="s">
        <v>966</v>
      </c>
      <c r="D2384" s="4121"/>
      <c r="E2384" s="1961">
        <f>SUM(E2385:E2390)</f>
        <v>1309501</v>
      </c>
      <c r="F2384" s="1961">
        <f>SUM(F2385:F2390)</f>
        <v>1309501</v>
      </c>
      <c r="G2384" s="1960">
        <f>SUM(G2385:G2390)</f>
        <v>1433568</v>
      </c>
      <c r="H2384" s="1959">
        <f t="shared" si="168"/>
        <v>1.0947437229906658</v>
      </c>
      <c r="J2384" s="1702"/>
    </row>
    <row r="2385" spans="1:10" s="1906" customFormat="1" ht="15.75" customHeight="1">
      <c r="A2385" s="1923"/>
      <c r="B2385" s="1922"/>
      <c r="C2385" s="2169" t="s">
        <v>1016</v>
      </c>
      <c r="D2385" s="2159" t="s">
        <v>1015</v>
      </c>
      <c r="E2385" s="1919">
        <v>1005494</v>
      </c>
      <c r="F2385" s="1919">
        <v>1005494</v>
      </c>
      <c r="G2385" s="1918">
        <v>1085195</v>
      </c>
      <c r="H2385" s="1914">
        <f t="shared" si="168"/>
        <v>1.0792655152591661</v>
      </c>
      <c r="J2385" s="1702"/>
    </row>
    <row r="2386" spans="1:10" s="1906" customFormat="1" ht="15.75" customHeight="1">
      <c r="A2386" s="1923"/>
      <c r="B2386" s="1922"/>
      <c r="C2386" s="2169" t="s">
        <v>1014</v>
      </c>
      <c r="D2386" s="2159" t="s">
        <v>1013</v>
      </c>
      <c r="E2386" s="1919">
        <v>86963</v>
      </c>
      <c r="F2386" s="1919">
        <v>86963</v>
      </c>
      <c r="G2386" s="1918">
        <v>111218</v>
      </c>
      <c r="H2386" s="1914">
        <f t="shared" si="168"/>
        <v>1.2789117210767798</v>
      </c>
      <c r="J2386" s="1702"/>
    </row>
    <row r="2387" spans="1:10" s="1906" customFormat="1" ht="15.75" customHeight="1">
      <c r="A2387" s="1923"/>
      <c r="B2387" s="1922"/>
      <c r="C2387" s="2169" t="s">
        <v>965</v>
      </c>
      <c r="D2387" s="2159" t="s">
        <v>964</v>
      </c>
      <c r="E2387" s="1919">
        <v>184831</v>
      </c>
      <c r="F2387" s="1919">
        <v>184831</v>
      </c>
      <c r="G2387" s="1918">
        <v>203864</v>
      </c>
      <c r="H2387" s="1914">
        <f t="shared" si="168"/>
        <v>1.102975150272411</v>
      </c>
      <c r="J2387" s="1702"/>
    </row>
    <row r="2388" spans="1:10" s="1906" customFormat="1" ht="16.5" customHeight="1">
      <c r="A2388" s="1923"/>
      <c r="B2388" s="1922"/>
      <c r="C2388" s="2169" t="s">
        <v>963</v>
      </c>
      <c r="D2388" s="2159" t="s">
        <v>962</v>
      </c>
      <c r="E2388" s="1919">
        <v>26638</v>
      </c>
      <c r="F2388" s="1919">
        <v>26638</v>
      </c>
      <c r="G2388" s="1918">
        <v>28920</v>
      </c>
      <c r="H2388" s="1914">
        <f t="shared" si="168"/>
        <v>1.0856670921240332</v>
      </c>
      <c r="J2388" s="1702"/>
    </row>
    <row r="2389" spans="1:10" ht="15.75" hidden="1" customHeight="1">
      <c r="A2389" s="1836"/>
      <c r="B2389" s="1822"/>
      <c r="C2389" s="2172" t="s">
        <v>974</v>
      </c>
      <c r="D2389" s="2171" t="s">
        <v>973</v>
      </c>
      <c r="E2389" s="1897">
        <v>0</v>
      </c>
      <c r="F2389" s="1897"/>
      <c r="G2389" s="1896">
        <v>0</v>
      </c>
      <c r="H2389" s="1799" t="e">
        <f t="shared" si="168"/>
        <v>#DIV/0!</v>
      </c>
    </row>
    <row r="2390" spans="1:10" s="1906" customFormat="1" ht="15.75" customHeight="1">
      <c r="A2390" s="1923"/>
      <c r="B2390" s="1922"/>
      <c r="C2390" s="2170" t="s">
        <v>1012</v>
      </c>
      <c r="D2390" s="1943" t="s">
        <v>1011</v>
      </c>
      <c r="E2390" s="1919">
        <v>5575</v>
      </c>
      <c r="F2390" s="1919">
        <v>5575</v>
      </c>
      <c r="G2390" s="1918">
        <v>4371</v>
      </c>
      <c r="H2390" s="1914">
        <f t="shared" si="168"/>
        <v>0.78403587443946188</v>
      </c>
      <c r="J2390" s="1702"/>
    </row>
    <row r="2391" spans="1:10" ht="15.75" customHeight="1">
      <c r="A2391" s="1836"/>
      <c r="B2391" s="1822"/>
      <c r="C2391" s="2163"/>
      <c r="D2391" s="2163"/>
      <c r="E2391" s="2162"/>
      <c r="F2391" s="1897"/>
      <c r="G2391" s="1896"/>
      <c r="H2391" s="1799"/>
    </row>
    <row r="2392" spans="1:10" s="1906" customFormat="1" ht="15.75" customHeight="1">
      <c r="A2392" s="1923"/>
      <c r="B2392" s="1922"/>
      <c r="C2392" s="4202" t="s">
        <v>961</v>
      </c>
      <c r="D2392" s="4202"/>
      <c r="E2392" s="1961">
        <f>SUM(E2393:E2407)</f>
        <v>282366</v>
      </c>
      <c r="F2392" s="1961">
        <f>SUM(F2393:F2407)</f>
        <v>282366</v>
      </c>
      <c r="G2392" s="1960">
        <f>SUM(G2393:G2407)</f>
        <v>317377</v>
      </c>
      <c r="H2392" s="1959">
        <f t="shared" ref="H2392:H2407" si="169">G2392/F2392</f>
        <v>1.1239915570571528</v>
      </c>
      <c r="J2392" s="1702"/>
    </row>
    <row r="2393" spans="1:10" s="1906" customFormat="1" ht="15.75" customHeight="1">
      <c r="A2393" s="1923"/>
      <c r="B2393" s="1922"/>
      <c r="C2393" s="2169" t="s">
        <v>1048</v>
      </c>
      <c r="D2393" s="2159" t="s">
        <v>1047</v>
      </c>
      <c r="E2393" s="1919">
        <v>3113</v>
      </c>
      <c r="F2393" s="1919">
        <v>3113</v>
      </c>
      <c r="G2393" s="1918">
        <v>4263</v>
      </c>
      <c r="H2393" s="1914">
        <f t="shared" si="169"/>
        <v>1.369418567298426</v>
      </c>
      <c r="J2393" s="1702"/>
    </row>
    <row r="2394" spans="1:10" s="1906" customFormat="1" ht="15.75" customHeight="1">
      <c r="A2394" s="1923"/>
      <c r="B2394" s="1922"/>
      <c r="C2394" s="2169" t="s">
        <v>613</v>
      </c>
      <c r="D2394" s="2159" t="s">
        <v>960</v>
      </c>
      <c r="E2394" s="1919">
        <v>80339</v>
      </c>
      <c r="F2394" s="1919">
        <v>80339</v>
      </c>
      <c r="G2394" s="1918">
        <v>70946</v>
      </c>
      <c r="H2394" s="1914">
        <f t="shared" si="169"/>
        <v>0.88308293605845234</v>
      </c>
      <c r="J2394" s="1702"/>
    </row>
    <row r="2395" spans="1:10" s="1906" customFormat="1" ht="15.75" customHeight="1">
      <c r="A2395" s="1923"/>
      <c r="B2395" s="1922"/>
      <c r="C2395" s="2169" t="s">
        <v>1008</v>
      </c>
      <c r="D2395" s="2159" t="s">
        <v>1007</v>
      </c>
      <c r="E2395" s="1919">
        <v>4500</v>
      </c>
      <c r="F2395" s="1919">
        <v>4500</v>
      </c>
      <c r="G2395" s="1918">
        <v>4500</v>
      </c>
      <c r="H2395" s="1914">
        <f t="shared" si="169"/>
        <v>1</v>
      </c>
      <c r="J2395" s="1702"/>
    </row>
    <row r="2396" spans="1:10" s="1906" customFormat="1" ht="15.75" customHeight="1">
      <c r="A2396" s="1923"/>
      <c r="B2396" s="1922"/>
      <c r="C2396" s="2169" t="s">
        <v>1006</v>
      </c>
      <c r="D2396" s="2159" t="s">
        <v>1005</v>
      </c>
      <c r="E2396" s="1919">
        <v>4240</v>
      </c>
      <c r="F2396" s="1919">
        <v>4240</v>
      </c>
      <c r="G2396" s="1918">
        <v>5000</v>
      </c>
      <c r="H2396" s="1914">
        <f t="shared" si="169"/>
        <v>1.179245283018868</v>
      </c>
      <c r="J2396" s="1702"/>
    </row>
    <row r="2397" spans="1:10" s="1906" customFormat="1" ht="15.75" customHeight="1">
      <c r="A2397" s="1923"/>
      <c r="B2397" s="1922"/>
      <c r="C2397" s="2169" t="s">
        <v>1004</v>
      </c>
      <c r="D2397" s="2159" t="s">
        <v>1003</v>
      </c>
      <c r="E2397" s="1919">
        <v>24040</v>
      </c>
      <c r="F2397" s="1919">
        <v>24040</v>
      </c>
      <c r="G2397" s="1918">
        <v>30973</v>
      </c>
      <c r="H2397" s="1914">
        <f t="shared" si="169"/>
        <v>1.2883943427620632</v>
      </c>
      <c r="J2397" s="1702"/>
    </row>
    <row r="2398" spans="1:10" s="1906" customFormat="1" ht="15.75" customHeight="1">
      <c r="A2398" s="1923"/>
      <c r="B2398" s="1922"/>
      <c r="C2398" s="2169" t="s">
        <v>1002</v>
      </c>
      <c r="D2398" s="2159" t="s">
        <v>1001</v>
      </c>
      <c r="E2398" s="1919">
        <v>9061</v>
      </c>
      <c r="F2398" s="1919">
        <v>9061</v>
      </c>
      <c r="G2398" s="1918">
        <v>14448</v>
      </c>
      <c r="H2398" s="1914">
        <f t="shared" si="169"/>
        <v>1.5945259905087739</v>
      </c>
      <c r="J2398" s="1702"/>
    </row>
    <row r="2399" spans="1:10" s="1906" customFormat="1" ht="15.75" customHeight="1">
      <c r="A2399" s="1923"/>
      <c r="B2399" s="1922"/>
      <c r="C2399" s="2169" t="s">
        <v>1000</v>
      </c>
      <c r="D2399" s="2159" t="s">
        <v>999</v>
      </c>
      <c r="E2399" s="1919">
        <v>2110</v>
      </c>
      <c r="F2399" s="1919">
        <v>2110</v>
      </c>
      <c r="G2399" s="1918">
        <v>900</v>
      </c>
      <c r="H2399" s="1914">
        <f t="shared" si="169"/>
        <v>0.42654028436018959</v>
      </c>
      <c r="J2399" s="1702"/>
    </row>
    <row r="2400" spans="1:10" s="1906" customFormat="1" ht="15.75" customHeight="1">
      <c r="A2400" s="1923"/>
      <c r="B2400" s="1922"/>
      <c r="C2400" s="2169" t="s">
        <v>959</v>
      </c>
      <c r="D2400" s="2159" t="s">
        <v>958</v>
      </c>
      <c r="E2400" s="1919">
        <v>75957</v>
      </c>
      <c r="F2400" s="1919">
        <v>75957</v>
      </c>
      <c r="G2400" s="1918">
        <v>96752</v>
      </c>
      <c r="H2400" s="1914">
        <f t="shared" si="169"/>
        <v>1.2737733191147622</v>
      </c>
      <c r="J2400" s="1702"/>
    </row>
    <row r="2401" spans="1:10" s="1906" customFormat="1" ht="15.75" customHeight="1">
      <c r="A2401" s="1922"/>
      <c r="B2401" s="1773"/>
      <c r="C2401" s="2168" t="s">
        <v>998</v>
      </c>
      <c r="D2401" s="2167" t="s">
        <v>1090</v>
      </c>
      <c r="E2401" s="1919">
        <v>4601</v>
      </c>
      <c r="F2401" s="1919">
        <v>4601</v>
      </c>
      <c r="G2401" s="1918">
        <v>5133</v>
      </c>
      <c r="H2401" s="1914">
        <f t="shared" si="169"/>
        <v>1.1156270376005217</v>
      </c>
      <c r="J2401" s="1702"/>
    </row>
    <row r="2402" spans="1:10" s="1906" customFormat="1" ht="15.75" customHeight="1">
      <c r="A2402" s="1923"/>
      <c r="B2402" s="1773"/>
      <c r="C2402" s="1974" t="s">
        <v>992</v>
      </c>
      <c r="D2402" s="1973" t="s">
        <v>991</v>
      </c>
      <c r="E2402" s="1930">
        <v>6804</v>
      </c>
      <c r="F2402" s="1930">
        <v>6804</v>
      </c>
      <c r="G2402" s="1929">
        <v>6804</v>
      </c>
      <c r="H2402" s="1928">
        <f t="shared" si="169"/>
        <v>1</v>
      </c>
      <c r="J2402" s="1702"/>
    </row>
    <row r="2403" spans="1:10" s="1906" customFormat="1" ht="15.75" customHeight="1">
      <c r="A2403" s="1923"/>
      <c r="B2403" s="1773"/>
      <c r="C2403" s="2011" t="s">
        <v>988</v>
      </c>
      <c r="D2403" s="2166" t="s">
        <v>987</v>
      </c>
      <c r="E2403" s="1919">
        <v>3319</v>
      </c>
      <c r="F2403" s="1919">
        <v>3319</v>
      </c>
      <c r="G2403" s="1918">
        <v>4363</v>
      </c>
      <c r="H2403" s="1914">
        <f t="shared" si="169"/>
        <v>1.3145525760771317</v>
      </c>
      <c r="J2403" s="1702"/>
    </row>
    <row r="2404" spans="1:10" s="1906" customFormat="1" ht="15.75" customHeight="1">
      <c r="A2404" s="1923"/>
      <c r="B2404" s="1773"/>
      <c r="C2404" s="2165" t="s">
        <v>986</v>
      </c>
      <c r="D2404" s="1943" t="s">
        <v>985</v>
      </c>
      <c r="E2404" s="1919">
        <v>31597</v>
      </c>
      <c r="F2404" s="1919">
        <v>31597</v>
      </c>
      <c r="G2404" s="1918">
        <v>32427</v>
      </c>
      <c r="H2404" s="1914">
        <f t="shared" si="169"/>
        <v>1.0262683166123365</v>
      </c>
      <c r="J2404" s="1702"/>
    </row>
    <row r="2405" spans="1:10" s="1906" customFormat="1" ht="15.75" customHeight="1">
      <c r="A2405" s="1923"/>
      <c r="B2405" s="1773"/>
      <c r="C2405" s="2165" t="s">
        <v>984</v>
      </c>
      <c r="D2405" s="1943" t="s">
        <v>983</v>
      </c>
      <c r="E2405" s="1919">
        <v>4234</v>
      </c>
      <c r="F2405" s="1919">
        <v>4234</v>
      </c>
      <c r="G2405" s="1918">
        <v>5311</v>
      </c>
      <c r="H2405" s="1914">
        <f t="shared" si="169"/>
        <v>1.2543693906471423</v>
      </c>
      <c r="J2405" s="1702"/>
    </row>
    <row r="2406" spans="1:10" s="1906" customFormat="1" ht="15.75" customHeight="1">
      <c r="A2406" s="1923"/>
      <c r="B2406" s="1773"/>
      <c r="C2406" s="2164" t="s">
        <v>1089</v>
      </c>
      <c r="D2406" s="1943" t="s">
        <v>1088</v>
      </c>
      <c r="E2406" s="1919">
        <v>3851</v>
      </c>
      <c r="F2406" s="1919">
        <v>3851</v>
      </c>
      <c r="G2406" s="1918">
        <v>4887</v>
      </c>
      <c r="H2406" s="1914">
        <f t="shared" si="169"/>
        <v>1.2690210334977927</v>
      </c>
      <c r="J2406" s="1702"/>
    </row>
    <row r="2407" spans="1:10" s="1906" customFormat="1" ht="16.5" customHeight="1">
      <c r="A2407" s="1923"/>
      <c r="B2407" s="1773"/>
      <c r="C2407" s="2164" t="s">
        <v>982</v>
      </c>
      <c r="D2407" s="1943" t="s">
        <v>1087</v>
      </c>
      <c r="E2407" s="1919">
        <v>24600</v>
      </c>
      <c r="F2407" s="1919">
        <v>24600</v>
      </c>
      <c r="G2407" s="1918">
        <v>30670</v>
      </c>
      <c r="H2407" s="1914">
        <f t="shared" si="169"/>
        <v>1.2467479674796749</v>
      </c>
      <c r="J2407" s="1702"/>
    </row>
    <row r="2408" spans="1:10" ht="15.75" customHeight="1">
      <c r="A2408" s="1836"/>
      <c r="B2408" s="1773"/>
      <c r="C2408" s="2163"/>
      <c r="D2408" s="2163"/>
      <c r="E2408" s="2162"/>
      <c r="F2408" s="1897"/>
      <c r="G2408" s="1896"/>
      <c r="H2408" s="1799"/>
    </row>
    <row r="2409" spans="1:10" s="1906" customFormat="1" ht="15.75" customHeight="1">
      <c r="A2409" s="1923"/>
      <c r="B2409" s="1773"/>
      <c r="C2409" s="4214" t="s">
        <v>952</v>
      </c>
      <c r="D2409" s="4214"/>
      <c r="E2409" s="1919">
        <f>SUM(E2410)</f>
        <v>4133</v>
      </c>
      <c r="F2409" s="1919">
        <f>SUM(F2410)</f>
        <v>4133</v>
      </c>
      <c r="G2409" s="1918">
        <f>SUM(G2410)</f>
        <v>7055</v>
      </c>
      <c r="H2409" s="1914">
        <f t="shared" ref="H2409:H2415" si="170">G2409/F2409</f>
        <v>1.7069924993951124</v>
      </c>
      <c r="J2409" s="1702"/>
    </row>
    <row r="2410" spans="1:10" s="1906" customFormat="1" ht="15.75" customHeight="1" thickBot="1">
      <c r="A2410" s="1923"/>
      <c r="B2410" s="1794"/>
      <c r="C2410" s="2161" t="s">
        <v>980</v>
      </c>
      <c r="D2410" s="2058" t="s">
        <v>979</v>
      </c>
      <c r="E2410" s="1916">
        <v>4133</v>
      </c>
      <c r="F2410" s="1916">
        <v>4133</v>
      </c>
      <c r="G2410" s="1915">
        <v>7055</v>
      </c>
      <c r="H2410" s="1907">
        <f t="shared" si="170"/>
        <v>1.7069924993951124</v>
      </c>
      <c r="J2410" s="1702"/>
    </row>
    <row r="2411" spans="1:10" s="1906" customFormat="1" ht="15.75" customHeight="1" thickBot="1">
      <c r="A2411" s="1922"/>
      <c r="B2411" s="1971" t="s">
        <v>818</v>
      </c>
      <c r="C2411" s="1970"/>
      <c r="D2411" s="1969" t="s">
        <v>911</v>
      </c>
      <c r="E2411" s="1968">
        <f>SUM(E2412)</f>
        <v>4391833</v>
      </c>
      <c r="F2411" s="1968">
        <f>SUM(F2412)</f>
        <v>4391833</v>
      </c>
      <c r="G2411" s="1967">
        <f>SUM(G2412)</f>
        <v>6753187</v>
      </c>
      <c r="H2411" s="1966">
        <f t="shared" si="170"/>
        <v>1.5376693512708703</v>
      </c>
      <c r="J2411" s="1702"/>
    </row>
    <row r="2412" spans="1:10" s="1906" customFormat="1" ht="15.75" customHeight="1">
      <c r="A2412" s="1923"/>
      <c r="B2412" s="2158"/>
      <c r="C2412" s="4130" t="s">
        <v>944</v>
      </c>
      <c r="D2412" s="4130"/>
      <c r="E2412" s="1965">
        <f>SUM(E2413,E2417)</f>
        <v>4391833</v>
      </c>
      <c r="F2412" s="1965">
        <f>SUM(F2413,F2417)</f>
        <v>4391833</v>
      </c>
      <c r="G2412" s="1964">
        <f>SUM(G2413,G2417)</f>
        <v>6753187</v>
      </c>
      <c r="H2412" s="1963">
        <f t="shared" si="170"/>
        <v>1.5376693512708703</v>
      </c>
      <c r="J2412" s="1702" t="s">
        <v>1086</v>
      </c>
    </row>
    <row r="2413" spans="1:10" s="1906" customFormat="1" ht="15.75" customHeight="1">
      <c r="A2413" s="1923"/>
      <c r="B2413" s="2158"/>
      <c r="C2413" s="4173" t="s">
        <v>967</v>
      </c>
      <c r="D2413" s="4173"/>
      <c r="E2413" s="1919">
        <f t="shared" ref="E2413:G2414" si="171">SUM(E2414)</f>
        <v>1071</v>
      </c>
      <c r="F2413" s="1919">
        <f t="shared" si="171"/>
        <v>1071</v>
      </c>
      <c r="G2413" s="1918">
        <f t="shared" si="171"/>
        <v>1232</v>
      </c>
      <c r="H2413" s="1914">
        <f t="shared" si="170"/>
        <v>1.1503267973856208</v>
      </c>
      <c r="J2413" s="1702"/>
    </row>
    <row r="2414" spans="1:10" s="1906" customFormat="1" ht="15.75" customHeight="1">
      <c r="A2414" s="1923"/>
      <c r="B2414" s="2158"/>
      <c r="C2414" s="4202" t="s">
        <v>961</v>
      </c>
      <c r="D2414" s="4202"/>
      <c r="E2414" s="1961">
        <f t="shared" si="171"/>
        <v>1071</v>
      </c>
      <c r="F2414" s="1961">
        <f t="shared" si="171"/>
        <v>1071</v>
      </c>
      <c r="G2414" s="1960">
        <f t="shared" si="171"/>
        <v>1232</v>
      </c>
      <c r="H2414" s="1959">
        <f t="shared" si="170"/>
        <v>1.1503267973856208</v>
      </c>
      <c r="J2414" s="1702"/>
    </row>
    <row r="2415" spans="1:10" s="1906" customFormat="1" ht="15.75" customHeight="1">
      <c r="A2415" s="1923"/>
      <c r="B2415" s="2158"/>
      <c r="C2415" s="2160" t="s">
        <v>613</v>
      </c>
      <c r="D2415" s="2159" t="s">
        <v>960</v>
      </c>
      <c r="E2415" s="1919">
        <v>1071</v>
      </c>
      <c r="F2415" s="1919">
        <v>1071</v>
      </c>
      <c r="G2415" s="1918">
        <v>1232</v>
      </c>
      <c r="H2415" s="1914">
        <f t="shared" si="170"/>
        <v>1.1503267973856208</v>
      </c>
      <c r="J2415" s="1702"/>
    </row>
    <row r="2416" spans="1:10" s="1906" customFormat="1" ht="13.5" thickBot="1">
      <c r="A2416" s="1923"/>
      <c r="B2416" s="2158"/>
      <c r="C2416" s="4203"/>
      <c r="D2416" s="4204"/>
      <c r="E2416" s="1919"/>
      <c r="F2416" s="1919"/>
      <c r="G2416" s="1918"/>
      <c r="H2416" s="1907"/>
      <c r="J2416" s="1702"/>
    </row>
    <row r="2417" spans="1:10" s="1906" customFormat="1" ht="16.5" customHeight="1">
      <c r="A2417" s="1922"/>
      <c r="B2417" s="2158"/>
      <c r="C2417" s="4205" t="s">
        <v>943</v>
      </c>
      <c r="D2417" s="4206"/>
      <c r="E2417" s="1930">
        <f>SUM(E2418)</f>
        <v>4390762</v>
      </c>
      <c r="F2417" s="1930">
        <f>SUM(F2418)</f>
        <v>4390762</v>
      </c>
      <c r="G2417" s="1929">
        <f>SUM(G2418)</f>
        <v>6751955</v>
      </c>
      <c r="H2417" s="1950">
        <f t="shared" ref="H2417:H2442" si="172">G2417/F2417</f>
        <v>1.537763832337075</v>
      </c>
      <c r="J2417" s="1702"/>
    </row>
    <row r="2418" spans="1:10" s="1906" customFormat="1" ht="54" customHeight="1" thickBot="1">
      <c r="A2418" s="1913"/>
      <c r="B2418" s="2157"/>
      <c r="C2418" s="2156" t="s">
        <v>112</v>
      </c>
      <c r="D2418" s="1910" t="s">
        <v>956</v>
      </c>
      <c r="E2418" s="1909">
        <v>4390762</v>
      </c>
      <c r="F2418" s="1916">
        <v>4390762</v>
      </c>
      <c r="G2418" s="1915">
        <v>6751955</v>
      </c>
      <c r="H2418" s="1907">
        <f t="shared" si="172"/>
        <v>1.537763832337075</v>
      </c>
      <c r="J2418" s="1702"/>
    </row>
    <row r="2419" spans="1:10" ht="53.25" hidden="1" customHeight="1">
      <c r="A2419" s="1836"/>
      <c r="B2419" s="1822"/>
      <c r="C2419" s="2155" t="s">
        <v>47</v>
      </c>
      <c r="D2419" s="2001" t="s">
        <v>79</v>
      </c>
      <c r="E2419" s="1904">
        <v>0</v>
      </c>
      <c r="F2419" s="1904"/>
      <c r="G2419" s="1903"/>
      <c r="H2419" s="1902" t="e">
        <f t="shared" si="172"/>
        <v>#DIV/0!</v>
      </c>
    </row>
    <row r="2420" spans="1:10" ht="17.25" hidden="1" customHeight="1" thickBot="1">
      <c r="A2420" s="1836"/>
      <c r="B2420" s="1822"/>
      <c r="C2420" s="2154" t="s">
        <v>93</v>
      </c>
      <c r="D2420" s="2153" t="s">
        <v>1085</v>
      </c>
      <c r="E2420" s="2000">
        <v>0</v>
      </c>
      <c r="F2420" s="1898"/>
      <c r="G2420" s="2152"/>
      <c r="H2420" s="1784" t="e">
        <f t="shared" si="172"/>
        <v>#DIV/0!</v>
      </c>
    </row>
    <row r="2421" spans="1:10" s="1702" customFormat="1" ht="17.100000000000001" customHeight="1" thickBot="1">
      <c r="A2421" s="2151" t="s">
        <v>816</v>
      </c>
      <c r="B2421" s="2150"/>
      <c r="C2421" s="2149"/>
      <c r="D2421" s="2148" t="s">
        <v>1084</v>
      </c>
      <c r="E2421" s="2147">
        <f>SUM(E2429,E2436,E2446,E2460,E2475,E2486,E2497,E2508)</f>
        <v>849123</v>
      </c>
      <c r="F2421" s="2147">
        <f>SUM(F2429,F2436,F2446,F2460,F2475,F2486,F2497,F2508)</f>
        <v>1685212</v>
      </c>
      <c r="G2421" s="2146">
        <f>SUM(G2429,G2436,G2446,G2460,G2475,G2486,G2497,G2508)</f>
        <v>1628916</v>
      </c>
      <c r="H2421" s="1735">
        <f t="shared" si="172"/>
        <v>0.96659411397497763</v>
      </c>
    </row>
    <row r="2422" spans="1:10" s="1702" customFormat="1" ht="17.100000000000001" hidden="1" customHeight="1" thickBot="1">
      <c r="A2422" s="1756"/>
      <c r="B2422" s="1768" t="s">
        <v>1083</v>
      </c>
      <c r="C2422" s="1839"/>
      <c r="D2422" s="1838" t="s">
        <v>1082</v>
      </c>
      <c r="E2422" s="1818">
        <v>0</v>
      </c>
      <c r="F2422" s="1818">
        <v>0</v>
      </c>
      <c r="G2422" s="1817">
        <v>0</v>
      </c>
      <c r="H2422" s="1814" t="e">
        <f t="shared" si="172"/>
        <v>#DIV/0!</v>
      </c>
    </row>
    <row r="2423" spans="1:10" s="1702" customFormat="1" ht="17.100000000000001" hidden="1" customHeight="1" thickBot="1">
      <c r="A2423" s="1756"/>
      <c r="B2423" s="1831"/>
      <c r="C2423" s="4098" t="s">
        <v>944</v>
      </c>
      <c r="D2423" s="4207"/>
      <c r="E2423" s="1815">
        <v>0</v>
      </c>
      <c r="F2423" s="1815">
        <v>0</v>
      </c>
      <c r="G2423" s="1761">
        <v>0</v>
      </c>
      <c r="H2423" s="1781" t="e">
        <f t="shared" si="172"/>
        <v>#DIV/0!</v>
      </c>
    </row>
    <row r="2424" spans="1:10" s="1702" customFormat="1" ht="17.100000000000001" hidden="1" customHeight="1" thickBot="1">
      <c r="A2424" s="1756"/>
      <c r="B2424" s="1831"/>
      <c r="C2424" s="4180" t="s">
        <v>967</v>
      </c>
      <c r="D2424" s="4180"/>
      <c r="E2424" s="1850">
        <v>0</v>
      </c>
      <c r="F2424" s="1850">
        <v>0</v>
      </c>
      <c r="G2424" s="1849">
        <v>0</v>
      </c>
      <c r="H2424" s="1781" t="e">
        <f t="shared" si="172"/>
        <v>#DIV/0!</v>
      </c>
    </row>
    <row r="2425" spans="1:10" s="1702" customFormat="1" ht="17.100000000000001" hidden="1" customHeight="1" thickBot="1">
      <c r="A2425" s="1756"/>
      <c r="B2425" s="1831"/>
      <c r="C2425" s="4100" t="s">
        <v>966</v>
      </c>
      <c r="D2425" s="4100"/>
      <c r="E2425" s="1850">
        <v>0</v>
      </c>
      <c r="F2425" s="1850">
        <v>0</v>
      </c>
      <c r="G2425" s="1849">
        <v>0</v>
      </c>
      <c r="H2425" s="1781" t="e">
        <f t="shared" si="172"/>
        <v>#DIV/0!</v>
      </c>
    </row>
    <row r="2426" spans="1:10" s="1702" customFormat="1" ht="17.100000000000001" hidden="1" customHeight="1" thickBot="1">
      <c r="A2426" s="1756"/>
      <c r="B2426" s="1831"/>
      <c r="C2426" s="2096" t="s">
        <v>1016</v>
      </c>
      <c r="D2426" s="2092" t="s">
        <v>1015</v>
      </c>
      <c r="E2426" s="1850">
        <v>0</v>
      </c>
      <c r="F2426" s="1850">
        <v>0</v>
      </c>
      <c r="G2426" s="1849">
        <v>0</v>
      </c>
      <c r="H2426" s="1781" t="e">
        <f t="shared" si="172"/>
        <v>#DIV/0!</v>
      </c>
    </row>
    <row r="2427" spans="1:10" s="1702" customFormat="1" ht="17.100000000000001" hidden="1" customHeight="1" thickBot="1">
      <c r="A2427" s="1756"/>
      <c r="B2427" s="1831"/>
      <c r="C2427" s="2096" t="s">
        <v>965</v>
      </c>
      <c r="D2427" s="2092" t="s">
        <v>964</v>
      </c>
      <c r="E2427" s="1850">
        <v>0</v>
      </c>
      <c r="F2427" s="1850">
        <v>0</v>
      </c>
      <c r="G2427" s="1849">
        <v>0</v>
      </c>
      <c r="H2427" s="1781" t="e">
        <f t="shared" si="172"/>
        <v>#DIV/0!</v>
      </c>
    </row>
    <row r="2428" spans="1:10" s="1702" customFormat="1" ht="17.100000000000001" hidden="1" customHeight="1" thickBot="1">
      <c r="A2428" s="1756"/>
      <c r="B2428" s="1831"/>
      <c r="C2428" s="2096" t="s">
        <v>963</v>
      </c>
      <c r="D2428" s="2092" t="s">
        <v>1067</v>
      </c>
      <c r="E2428" s="1850">
        <v>0</v>
      </c>
      <c r="F2428" s="1850">
        <v>0</v>
      </c>
      <c r="G2428" s="1849">
        <v>0</v>
      </c>
      <c r="H2428" s="1889" t="e">
        <f t="shared" si="172"/>
        <v>#DIV/0!</v>
      </c>
    </row>
    <row r="2429" spans="1:10" s="1702" customFormat="1" ht="17.100000000000001" hidden="1" customHeight="1" thickBot="1">
      <c r="A2429" s="1891"/>
      <c r="B2429" s="1768" t="s">
        <v>1081</v>
      </c>
      <c r="C2429" s="1839"/>
      <c r="D2429" s="1838" t="s">
        <v>1080</v>
      </c>
      <c r="E2429" s="1818">
        <f>SUM(E2433)</f>
        <v>0</v>
      </c>
      <c r="F2429" s="1818">
        <f>SUM(F2433)</f>
        <v>12000</v>
      </c>
      <c r="G2429" s="1817">
        <f>SUM(G2433)</f>
        <v>0</v>
      </c>
      <c r="H2429" s="1763">
        <f t="shared" si="172"/>
        <v>0</v>
      </c>
    </row>
    <row r="2430" spans="1:10" s="1702" customFormat="1" ht="17.100000000000001" hidden="1" customHeight="1" thickBot="1">
      <c r="A2430" s="1891"/>
      <c r="B2430" s="4113"/>
      <c r="C2430" s="4085" t="s">
        <v>944</v>
      </c>
      <c r="D2430" s="4085"/>
      <c r="E2430" s="1815">
        <v>0</v>
      </c>
      <c r="F2430" s="1815">
        <v>0</v>
      </c>
      <c r="G2430" s="1761">
        <v>0</v>
      </c>
      <c r="H2430" s="1814" t="e">
        <f t="shared" si="172"/>
        <v>#DIV/0!</v>
      </c>
    </row>
    <row r="2431" spans="1:10" s="1702" customFormat="1" ht="17.100000000000001" hidden="1" customHeight="1">
      <c r="A2431" s="1891"/>
      <c r="B2431" s="4114"/>
      <c r="C2431" s="4176" t="s">
        <v>943</v>
      </c>
      <c r="D2431" s="4176"/>
      <c r="E2431" s="1770">
        <v>0</v>
      </c>
      <c r="F2431" s="1770">
        <v>0</v>
      </c>
      <c r="G2431" s="1863">
        <v>0</v>
      </c>
      <c r="H2431" s="1781" t="e">
        <f t="shared" si="172"/>
        <v>#DIV/0!</v>
      </c>
    </row>
    <row r="2432" spans="1:10" s="1702" customFormat="1" ht="27" hidden="1" customHeight="1">
      <c r="A2432" s="1891"/>
      <c r="B2432" s="4208"/>
      <c r="C2432" s="2096" t="s">
        <v>91</v>
      </c>
      <c r="D2432" s="2092" t="s">
        <v>942</v>
      </c>
      <c r="E2432" s="1830">
        <v>0</v>
      </c>
      <c r="F2432" s="1830">
        <v>0</v>
      </c>
      <c r="G2432" s="2145">
        <v>0</v>
      </c>
      <c r="H2432" s="1781" t="e">
        <f t="shared" si="172"/>
        <v>#DIV/0!</v>
      </c>
    </row>
    <row r="2433" spans="1:10" s="1702" customFormat="1" ht="17.100000000000001" hidden="1" customHeight="1">
      <c r="A2433" s="1891"/>
      <c r="B2433" s="1831"/>
      <c r="C2433" s="4085" t="s">
        <v>941</v>
      </c>
      <c r="D2433" s="4093"/>
      <c r="E2433" s="1835">
        <f t="shared" ref="E2433:G2434" si="173">SUM(E2434)</f>
        <v>0</v>
      </c>
      <c r="F2433" s="1835">
        <f t="shared" si="173"/>
        <v>12000</v>
      </c>
      <c r="G2433" s="1834">
        <f t="shared" si="173"/>
        <v>0</v>
      </c>
      <c r="H2433" s="1781">
        <f t="shared" si="172"/>
        <v>0</v>
      </c>
    </row>
    <row r="2434" spans="1:10" s="1702" customFormat="1" ht="17.100000000000001" hidden="1" customHeight="1">
      <c r="A2434" s="1891"/>
      <c r="B2434" s="1831"/>
      <c r="C2434" s="4196" t="s">
        <v>940</v>
      </c>
      <c r="D2434" s="4197"/>
      <c r="E2434" s="1850">
        <f t="shared" si="173"/>
        <v>0</v>
      </c>
      <c r="F2434" s="1850">
        <f t="shared" si="173"/>
        <v>12000</v>
      </c>
      <c r="G2434" s="1849">
        <f t="shared" si="173"/>
        <v>0</v>
      </c>
      <c r="H2434" s="1757">
        <f t="shared" si="172"/>
        <v>0</v>
      </c>
    </row>
    <row r="2435" spans="1:10" s="1702" customFormat="1" ht="48" hidden="1" customHeight="1" thickBot="1">
      <c r="A2435" s="1891"/>
      <c r="B2435" s="1831"/>
      <c r="C2435" s="1772" t="s">
        <v>939</v>
      </c>
      <c r="D2435" s="1771" t="s">
        <v>938</v>
      </c>
      <c r="E2435" s="1830">
        <v>0</v>
      </c>
      <c r="F2435" s="1850">
        <v>12000</v>
      </c>
      <c r="G2435" s="1849">
        <v>0</v>
      </c>
      <c r="H2435" s="1769">
        <f t="shared" si="172"/>
        <v>0</v>
      </c>
    </row>
    <row r="2436" spans="1:10" s="1702" customFormat="1" ht="17.100000000000001" customHeight="1" thickBot="1">
      <c r="A2436" s="1747"/>
      <c r="B2436" s="1768" t="s">
        <v>815</v>
      </c>
      <c r="C2436" s="1839"/>
      <c r="D2436" s="1838" t="s">
        <v>384</v>
      </c>
      <c r="E2436" s="1818">
        <f>SUM(E2437)</f>
        <v>204623</v>
      </c>
      <c r="F2436" s="1818">
        <f>SUM(F2437)</f>
        <v>538273</v>
      </c>
      <c r="G2436" s="1817">
        <f>SUM(G2437)</f>
        <v>640216</v>
      </c>
      <c r="H2436" s="1763">
        <f t="shared" si="172"/>
        <v>1.1893890275009149</v>
      </c>
    </row>
    <row r="2437" spans="1:10" s="1702" customFormat="1" ht="17.100000000000001" customHeight="1">
      <c r="A2437" s="1756"/>
      <c r="B2437" s="4084"/>
      <c r="C2437" s="4198" t="s">
        <v>944</v>
      </c>
      <c r="D2437" s="4198"/>
      <c r="E2437" s="2538">
        <f>SUM(E2438,E2444)</f>
        <v>204623</v>
      </c>
      <c r="F2437" s="2538">
        <f>SUM(F2438,F2444)</f>
        <v>538273</v>
      </c>
      <c r="G2437" s="1761">
        <f>SUM(G2438,G2444)</f>
        <v>640216</v>
      </c>
      <c r="H2437" s="1814">
        <f t="shared" si="172"/>
        <v>1.1893890275009149</v>
      </c>
      <c r="J2437" s="1702" t="s">
        <v>975</v>
      </c>
    </row>
    <row r="2438" spans="1:10" s="1702" customFormat="1" ht="17.100000000000001" customHeight="1">
      <c r="A2438" s="1756"/>
      <c r="B2438" s="4084"/>
      <c r="C2438" s="4199" t="s">
        <v>967</v>
      </c>
      <c r="D2438" s="4199"/>
      <c r="E2438" s="3735">
        <f>SUM(E2439)</f>
        <v>197623</v>
      </c>
      <c r="F2438" s="3735">
        <f>SUM(F2439)</f>
        <v>531273</v>
      </c>
      <c r="G2438" s="3736">
        <f>SUM(G2439)</f>
        <v>633216</v>
      </c>
      <c r="H2438" s="1757">
        <f t="shared" si="172"/>
        <v>1.1918843984166332</v>
      </c>
    </row>
    <row r="2439" spans="1:10" s="1702" customFormat="1" ht="17.100000000000001" customHeight="1">
      <c r="A2439" s="1756"/>
      <c r="B2439" s="4084"/>
      <c r="C2439" s="4200" t="s">
        <v>961</v>
      </c>
      <c r="D2439" s="4200"/>
      <c r="E2439" s="3737">
        <f>SUM(E2440:E2442)</f>
        <v>197623</v>
      </c>
      <c r="F2439" s="3737">
        <f>SUM(F2440:F2442)</f>
        <v>531273</v>
      </c>
      <c r="G2439" s="3738">
        <f>SUM(G2440:G2442)</f>
        <v>633216</v>
      </c>
      <c r="H2439" s="1807">
        <f t="shared" si="172"/>
        <v>1.1918843984166332</v>
      </c>
    </row>
    <row r="2440" spans="1:10" s="1702" customFormat="1" ht="17.100000000000001" customHeight="1">
      <c r="A2440" s="1756"/>
      <c r="B2440" s="4084"/>
      <c r="C2440" s="3739" t="s">
        <v>613</v>
      </c>
      <c r="D2440" s="3740" t="s">
        <v>960</v>
      </c>
      <c r="E2440" s="3735">
        <v>15000</v>
      </c>
      <c r="F2440" s="3735">
        <v>10650</v>
      </c>
      <c r="G2440" s="3736">
        <v>15000</v>
      </c>
      <c r="H2440" s="1757">
        <f t="shared" si="172"/>
        <v>1.408450704225352</v>
      </c>
    </row>
    <row r="2441" spans="1:10" s="1702" customFormat="1" ht="17.100000000000001" customHeight="1">
      <c r="A2441" s="1756"/>
      <c r="B2441" s="4084"/>
      <c r="C2441" s="3741" t="s">
        <v>959</v>
      </c>
      <c r="D2441" s="3742" t="s">
        <v>958</v>
      </c>
      <c r="E2441" s="3735">
        <v>163623</v>
      </c>
      <c r="F2441" s="3735">
        <v>501623</v>
      </c>
      <c r="G2441" s="3736">
        <f>169216+430000</f>
        <v>599216</v>
      </c>
      <c r="H2441" s="1757">
        <f t="shared" si="172"/>
        <v>1.194554476170351</v>
      </c>
    </row>
    <row r="2442" spans="1:10" s="1702" customFormat="1" ht="17.100000000000001" customHeight="1" thickBot="1">
      <c r="A2442" s="1847"/>
      <c r="B2442" s="2077"/>
      <c r="C2442" s="3743" t="s">
        <v>996</v>
      </c>
      <c r="D2442" s="3744" t="s">
        <v>995</v>
      </c>
      <c r="E2442" s="3712">
        <v>19000</v>
      </c>
      <c r="F2442" s="3712">
        <v>19000</v>
      </c>
      <c r="G2442" s="1738">
        <v>19000</v>
      </c>
      <c r="H2442" s="1757">
        <f t="shared" si="172"/>
        <v>1</v>
      </c>
    </row>
    <row r="2443" spans="1:10" s="1702" customFormat="1" ht="14.25" customHeight="1" thickBot="1">
      <c r="A2443" s="1743"/>
      <c r="B2443" s="2077"/>
      <c r="C2443" s="2144"/>
      <c r="D2443" s="2138"/>
      <c r="E2443" s="1873"/>
      <c r="F2443" s="1873"/>
      <c r="G2443" s="1872"/>
      <c r="H2443" s="1837"/>
    </row>
    <row r="2444" spans="1:10" s="1702" customFormat="1" ht="17.100000000000001" customHeight="1">
      <c r="A2444" s="1886"/>
      <c r="B2444" s="2143"/>
      <c r="C2444" s="4201" t="s">
        <v>943</v>
      </c>
      <c r="D2444" s="4201"/>
      <c r="E2444" s="2142">
        <f>SUM(E2445)</f>
        <v>7000</v>
      </c>
      <c r="F2444" s="2142">
        <f>SUM(F2445)</f>
        <v>7000</v>
      </c>
      <c r="G2444" s="2141">
        <f>SUM(G2445)</f>
        <v>7000</v>
      </c>
      <c r="H2444" s="1757">
        <f t="shared" ref="H2444:H2466" si="174">G2444/F2444</f>
        <v>1</v>
      </c>
    </row>
    <row r="2445" spans="1:10" s="1702" customFormat="1" ht="53.25" customHeight="1" thickBot="1">
      <c r="A2445" s="1756"/>
      <c r="B2445" s="1755"/>
      <c r="C2445" s="2089" t="s">
        <v>112</v>
      </c>
      <c r="D2445" s="2140" t="s">
        <v>956</v>
      </c>
      <c r="E2445" s="1850">
        <v>7000</v>
      </c>
      <c r="F2445" s="1850">
        <v>7000</v>
      </c>
      <c r="G2445" s="1849">
        <v>7000</v>
      </c>
      <c r="H2445" s="2127">
        <f t="shared" si="174"/>
        <v>1</v>
      </c>
    </row>
    <row r="2446" spans="1:10" s="1702" customFormat="1" ht="17.100000000000001" customHeight="1" thickBot="1">
      <c r="A2446" s="1747"/>
      <c r="B2446" s="1768" t="s">
        <v>1079</v>
      </c>
      <c r="C2446" s="1839"/>
      <c r="D2446" s="1838" t="s">
        <v>1078</v>
      </c>
      <c r="E2446" s="1818">
        <f t="shared" ref="E2446:G2448" si="175">SUM(E2447)</f>
        <v>5000</v>
      </c>
      <c r="F2446" s="1818">
        <f t="shared" si="175"/>
        <v>5000</v>
      </c>
      <c r="G2446" s="1817">
        <f t="shared" si="175"/>
        <v>220000</v>
      </c>
      <c r="H2446" s="1763">
        <f t="shared" si="174"/>
        <v>44</v>
      </c>
    </row>
    <row r="2447" spans="1:10" s="1702" customFormat="1" ht="17.25" customHeight="1">
      <c r="A2447" s="1756"/>
      <c r="B2447" s="1755"/>
      <c r="C2447" s="4085" t="s">
        <v>944</v>
      </c>
      <c r="D2447" s="4085"/>
      <c r="E2447" s="1750">
        <f t="shared" si="175"/>
        <v>5000</v>
      </c>
      <c r="F2447" s="1750">
        <f t="shared" si="175"/>
        <v>5000</v>
      </c>
      <c r="G2447" s="1749">
        <f t="shared" si="175"/>
        <v>220000</v>
      </c>
      <c r="H2447" s="1814">
        <f t="shared" si="174"/>
        <v>44</v>
      </c>
      <c r="J2447" s="1702" t="s">
        <v>975</v>
      </c>
    </row>
    <row r="2448" spans="1:10" s="1702" customFormat="1" ht="17.25" customHeight="1">
      <c r="A2448" s="1756"/>
      <c r="B2448" s="1755"/>
      <c r="C2448" s="4188" t="s">
        <v>967</v>
      </c>
      <c r="D2448" s="4188"/>
      <c r="E2448" s="2120">
        <f t="shared" si="175"/>
        <v>5000</v>
      </c>
      <c r="F2448" s="2120">
        <f t="shared" si="175"/>
        <v>5000</v>
      </c>
      <c r="G2448" s="2134">
        <f t="shared" si="175"/>
        <v>220000</v>
      </c>
      <c r="H2448" s="1757">
        <f t="shared" si="174"/>
        <v>44</v>
      </c>
    </row>
    <row r="2449" spans="1:10" s="1702" customFormat="1" ht="18.75" customHeight="1">
      <c r="A2449" s="1756"/>
      <c r="B2449" s="1755"/>
      <c r="C2449" s="4193" t="s">
        <v>961</v>
      </c>
      <c r="D2449" s="4193"/>
      <c r="E2449" s="2126">
        <f>SUM(E2451)</f>
        <v>5000</v>
      </c>
      <c r="F2449" s="2126">
        <f>SUM(F2451)</f>
        <v>5000</v>
      </c>
      <c r="G2449" s="2118">
        <f>SUM(G2451)</f>
        <v>220000</v>
      </c>
      <c r="H2449" s="1807">
        <f t="shared" si="174"/>
        <v>44</v>
      </c>
    </row>
    <row r="2450" spans="1:10" s="1702" customFormat="1" ht="16.5" hidden="1" customHeight="1">
      <c r="A2450" s="1756"/>
      <c r="B2450" s="1755"/>
      <c r="C2450" s="2129" t="s">
        <v>959</v>
      </c>
      <c r="D2450" s="2128" t="s">
        <v>958</v>
      </c>
      <c r="E2450" s="2120">
        <v>0</v>
      </c>
      <c r="F2450" s="1850"/>
      <c r="G2450" s="1849"/>
      <c r="H2450" s="1757" t="e">
        <f t="shared" si="174"/>
        <v>#DIV/0!</v>
      </c>
    </row>
    <row r="2451" spans="1:10" s="1702" customFormat="1" ht="16.5" customHeight="1" thickBot="1">
      <c r="A2451" s="1831"/>
      <c r="B2451" s="2077"/>
      <c r="C2451" s="2139" t="s">
        <v>996</v>
      </c>
      <c r="D2451" s="2138" t="s">
        <v>995</v>
      </c>
      <c r="E2451" s="1739">
        <v>5000</v>
      </c>
      <c r="F2451" s="1739">
        <v>5000</v>
      </c>
      <c r="G2451" s="1738">
        <v>220000</v>
      </c>
      <c r="H2451" s="2017">
        <f t="shared" si="174"/>
        <v>44</v>
      </c>
    </row>
    <row r="2452" spans="1:10" s="1702" customFormat="1" ht="16.5" hidden="1" customHeight="1" thickBot="1">
      <c r="A2452" s="1756"/>
      <c r="B2452" s="2112" t="s">
        <v>1077</v>
      </c>
      <c r="C2452" s="2111"/>
      <c r="D2452" s="2110"/>
      <c r="E2452" s="2109">
        <v>0</v>
      </c>
      <c r="F2452" s="1870"/>
      <c r="G2452" s="1802"/>
      <c r="H2452" s="1837" t="e">
        <f t="shared" si="174"/>
        <v>#DIV/0!</v>
      </c>
    </row>
    <row r="2453" spans="1:10" s="1702" customFormat="1" ht="16.5" hidden="1" customHeight="1" thickBot="1">
      <c r="A2453" s="1756"/>
      <c r="B2453" s="1755"/>
      <c r="C2453" s="4085" t="s">
        <v>944</v>
      </c>
      <c r="D2453" s="4085"/>
      <c r="E2453" s="2120">
        <v>0</v>
      </c>
      <c r="F2453" s="1850"/>
      <c r="G2453" s="1849"/>
      <c r="H2453" s="1757" t="e">
        <f t="shared" si="174"/>
        <v>#DIV/0!</v>
      </c>
    </row>
    <row r="2454" spans="1:10" s="1702" customFormat="1" ht="16.5" hidden="1" customHeight="1" thickBot="1">
      <c r="A2454" s="1756"/>
      <c r="B2454" s="1755"/>
      <c r="C2454" s="4194" t="s">
        <v>976</v>
      </c>
      <c r="D2454" s="4194"/>
      <c r="E2454" s="2120">
        <v>0</v>
      </c>
      <c r="F2454" s="1850"/>
      <c r="G2454" s="1849"/>
      <c r="H2454" s="1757" t="e">
        <f t="shared" si="174"/>
        <v>#DIV/0!</v>
      </c>
    </row>
    <row r="2455" spans="1:10" s="1702" customFormat="1" ht="16.5" hidden="1" customHeight="1" thickBot="1">
      <c r="A2455" s="1756"/>
      <c r="B2455" s="1755"/>
      <c r="C2455" s="2129" t="s">
        <v>446</v>
      </c>
      <c r="D2455" s="2128" t="s">
        <v>958</v>
      </c>
      <c r="E2455" s="2120">
        <v>0</v>
      </c>
      <c r="F2455" s="1850"/>
      <c r="G2455" s="1849"/>
      <c r="H2455" s="1757" t="e">
        <f t="shared" si="174"/>
        <v>#DIV/0!</v>
      </c>
    </row>
    <row r="2456" spans="1:10" s="1702" customFormat="1" ht="18.75" hidden="1" customHeight="1" thickBot="1">
      <c r="A2456" s="1756"/>
      <c r="B2456" s="1768" t="s">
        <v>1076</v>
      </c>
      <c r="C2456" s="1839"/>
      <c r="D2456" s="1838" t="s">
        <v>1075</v>
      </c>
      <c r="E2456" s="1818">
        <v>0</v>
      </c>
      <c r="F2456" s="1850"/>
      <c r="G2456" s="1849"/>
      <c r="H2456" s="1757" t="e">
        <f t="shared" si="174"/>
        <v>#DIV/0!</v>
      </c>
    </row>
    <row r="2457" spans="1:10" s="1702" customFormat="1" ht="15.75" hidden="1" customHeight="1" thickBot="1">
      <c r="A2457" s="1756"/>
      <c r="B2457" s="4113"/>
      <c r="C2457" s="4085" t="s">
        <v>941</v>
      </c>
      <c r="D2457" s="4085"/>
      <c r="E2457" s="1815">
        <v>0</v>
      </c>
      <c r="F2457" s="1850"/>
      <c r="G2457" s="1849"/>
      <c r="H2457" s="1757" t="e">
        <f t="shared" si="174"/>
        <v>#DIV/0!</v>
      </c>
    </row>
    <row r="2458" spans="1:10" s="1702" customFormat="1" ht="15" hidden="1" customHeight="1" thickBot="1">
      <c r="A2458" s="1756"/>
      <c r="B2458" s="4114"/>
      <c r="C2458" s="4195" t="s">
        <v>940</v>
      </c>
      <c r="D2458" s="4195"/>
      <c r="E2458" s="2120">
        <v>0</v>
      </c>
      <c r="F2458" s="1850"/>
      <c r="G2458" s="1849"/>
      <c r="H2458" s="1757" t="e">
        <f t="shared" si="174"/>
        <v>#DIV/0!</v>
      </c>
    </row>
    <row r="2459" spans="1:10" s="1702" customFormat="1" ht="40.5" hidden="1" customHeight="1" thickBot="1">
      <c r="A2459" s="1756"/>
      <c r="B2459" s="4114"/>
      <c r="C2459" s="2137" t="s">
        <v>939</v>
      </c>
      <c r="D2459" s="2136" t="s">
        <v>938</v>
      </c>
      <c r="E2459" s="2135">
        <v>0</v>
      </c>
      <c r="F2459" s="2120"/>
      <c r="G2459" s="2134"/>
      <c r="H2459" s="2127" t="e">
        <f t="shared" si="174"/>
        <v>#DIV/0!</v>
      </c>
    </row>
    <row r="2460" spans="1:10" s="1702" customFormat="1" ht="28.5" customHeight="1" thickBot="1">
      <c r="A2460" s="1831"/>
      <c r="B2460" s="1768" t="s">
        <v>1074</v>
      </c>
      <c r="C2460" s="1839"/>
      <c r="D2460" s="1838" t="s">
        <v>1073</v>
      </c>
      <c r="E2460" s="2133">
        <f t="shared" ref="E2460:G2461" si="176">SUM(E2461)</f>
        <v>400000</v>
      </c>
      <c r="F2460" s="2133">
        <f t="shared" si="176"/>
        <v>545152</v>
      </c>
      <c r="G2460" s="2132">
        <f t="shared" si="176"/>
        <v>400000</v>
      </c>
      <c r="H2460" s="1763">
        <f t="shared" si="174"/>
        <v>0.73374031462784695</v>
      </c>
    </row>
    <row r="2461" spans="1:10" s="1702" customFormat="1" ht="17.100000000000001" customHeight="1">
      <c r="A2461" s="1756"/>
      <c r="B2461" s="4084"/>
      <c r="C2461" s="4085" t="s">
        <v>944</v>
      </c>
      <c r="D2461" s="4085"/>
      <c r="E2461" s="1815">
        <f t="shared" si="176"/>
        <v>400000</v>
      </c>
      <c r="F2461" s="1815">
        <f t="shared" si="176"/>
        <v>545152</v>
      </c>
      <c r="G2461" s="1761">
        <f t="shared" si="176"/>
        <v>400000</v>
      </c>
      <c r="H2461" s="1814">
        <f t="shared" si="174"/>
        <v>0.73374031462784695</v>
      </c>
      <c r="J2461" s="1702" t="s">
        <v>1064</v>
      </c>
    </row>
    <row r="2462" spans="1:10" s="1702" customFormat="1" ht="17.100000000000001" customHeight="1">
      <c r="A2462" s="1756"/>
      <c r="B2462" s="4084"/>
      <c r="C2462" s="4188" t="s">
        <v>967</v>
      </c>
      <c r="D2462" s="4188"/>
      <c r="E2462" s="1850">
        <f>SUM(E2463,E2468)</f>
        <v>400000</v>
      </c>
      <c r="F2462" s="1850">
        <f>SUM(F2463,F2468)</f>
        <v>545152</v>
      </c>
      <c r="G2462" s="1849">
        <f>SUM(G2463,G2468)</f>
        <v>400000</v>
      </c>
      <c r="H2462" s="1757">
        <f t="shared" si="174"/>
        <v>0.73374031462784695</v>
      </c>
    </row>
    <row r="2463" spans="1:10" s="1702" customFormat="1" ht="15" customHeight="1">
      <c r="A2463" s="1756"/>
      <c r="B2463" s="4084"/>
      <c r="C2463" s="4100" t="s">
        <v>966</v>
      </c>
      <c r="D2463" s="4100"/>
      <c r="E2463" s="1859">
        <f>SUM(E2464:E2466)</f>
        <v>371000</v>
      </c>
      <c r="F2463" s="1859">
        <f>SUM(F2464:F2466)</f>
        <v>511152</v>
      </c>
      <c r="G2463" s="1858">
        <f>SUM(G2464:G2466)</f>
        <v>370000</v>
      </c>
      <c r="H2463" s="1807">
        <f t="shared" si="174"/>
        <v>0.72385513506745547</v>
      </c>
    </row>
    <row r="2464" spans="1:10" s="1702" customFormat="1" ht="17.100000000000001" customHeight="1">
      <c r="A2464" s="1756"/>
      <c r="B2464" s="4084"/>
      <c r="C2464" s="2125" t="s">
        <v>1016</v>
      </c>
      <c r="D2464" s="2124" t="s">
        <v>1015</v>
      </c>
      <c r="E2464" s="1850">
        <v>310097</v>
      </c>
      <c r="F2464" s="1850">
        <v>427242</v>
      </c>
      <c r="G2464" s="1849">
        <v>309261</v>
      </c>
      <c r="H2464" s="1757">
        <f t="shared" si="174"/>
        <v>0.72385439633743875</v>
      </c>
    </row>
    <row r="2465" spans="1:10" s="1702" customFormat="1" ht="17.100000000000001" customHeight="1">
      <c r="A2465" s="1756"/>
      <c r="B2465" s="4084"/>
      <c r="C2465" s="2123" t="s">
        <v>965</v>
      </c>
      <c r="D2465" s="2122" t="s">
        <v>964</v>
      </c>
      <c r="E2465" s="1850">
        <v>53306</v>
      </c>
      <c r="F2465" s="1850">
        <v>73443</v>
      </c>
      <c r="G2465" s="1849">
        <v>53162</v>
      </c>
      <c r="H2465" s="1757">
        <f t="shared" si="174"/>
        <v>0.72385387307163374</v>
      </c>
    </row>
    <row r="2466" spans="1:10" s="1702" customFormat="1" ht="17.100000000000001" customHeight="1">
      <c r="A2466" s="1756"/>
      <c r="B2466" s="4084"/>
      <c r="C2466" s="2123" t="s">
        <v>963</v>
      </c>
      <c r="D2466" s="2122" t="s">
        <v>962</v>
      </c>
      <c r="E2466" s="1850">
        <v>7597</v>
      </c>
      <c r="F2466" s="1850">
        <v>10467</v>
      </c>
      <c r="G2466" s="1849">
        <v>7577</v>
      </c>
      <c r="H2466" s="1757">
        <f t="shared" si="174"/>
        <v>0.72389414349861469</v>
      </c>
    </row>
    <row r="2467" spans="1:10" s="1702" customFormat="1" ht="12.75" customHeight="1">
      <c r="A2467" s="1756"/>
      <c r="B2467" s="4084"/>
      <c r="C2467" s="2131"/>
      <c r="D2467" s="2130"/>
      <c r="E2467" s="1877"/>
      <c r="F2467" s="1850"/>
      <c r="G2467" s="1849"/>
      <c r="H2467" s="1757"/>
    </row>
    <row r="2468" spans="1:10" s="1702" customFormat="1" ht="17.100000000000001" customHeight="1">
      <c r="A2468" s="1756"/>
      <c r="B2468" s="4084"/>
      <c r="C2468" s="4193" t="s">
        <v>961</v>
      </c>
      <c r="D2468" s="4193"/>
      <c r="E2468" s="1859">
        <f>SUM(E2469:E2470)</f>
        <v>29000</v>
      </c>
      <c r="F2468" s="1859">
        <f>SUM(F2469:F2470)</f>
        <v>34000</v>
      </c>
      <c r="G2468" s="1858">
        <f>SUM(G2469:G2470)</f>
        <v>30000</v>
      </c>
      <c r="H2468" s="1807">
        <f t="shared" ref="H2468:H2481" si="177">G2468/F2468</f>
        <v>0.88235294117647056</v>
      </c>
    </row>
    <row r="2469" spans="1:10" s="1702" customFormat="1" ht="17.100000000000001" customHeight="1">
      <c r="A2469" s="1756"/>
      <c r="B2469" s="4084"/>
      <c r="C2469" s="2129" t="s">
        <v>613</v>
      </c>
      <c r="D2469" s="2128" t="s">
        <v>960</v>
      </c>
      <c r="E2469" s="1850">
        <v>14000</v>
      </c>
      <c r="F2469" s="1850">
        <v>19000</v>
      </c>
      <c r="G2469" s="1849">
        <v>10000</v>
      </c>
      <c r="H2469" s="1757">
        <f t="shared" si="177"/>
        <v>0.52631578947368418</v>
      </c>
    </row>
    <row r="2470" spans="1:10" s="1702" customFormat="1" ht="19.5" customHeight="1" thickBot="1">
      <c r="A2470" s="1756"/>
      <c r="B2470" s="4084"/>
      <c r="C2470" s="2123" t="s">
        <v>982</v>
      </c>
      <c r="D2470" s="2122" t="s">
        <v>981</v>
      </c>
      <c r="E2470" s="1850">
        <v>15000</v>
      </c>
      <c r="F2470" s="1850">
        <v>15000</v>
      </c>
      <c r="G2470" s="1849">
        <v>20000</v>
      </c>
      <c r="H2470" s="1757">
        <f t="shared" si="177"/>
        <v>1.3333333333333333</v>
      </c>
    </row>
    <row r="2471" spans="1:10" s="1702" customFormat="1" ht="17.100000000000001" hidden="1" customHeight="1" thickBot="1">
      <c r="A2471" s="1756"/>
      <c r="B2471" s="1755"/>
      <c r="C2471" s="4182"/>
      <c r="D2471" s="4183"/>
      <c r="E2471" s="1850"/>
      <c r="F2471" s="1850"/>
      <c r="G2471" s="1849"/>
      <c r="H2471" s="1757" t="e">
        <f t="shared" si="177"/>
        <v>#DIV/0!</v>
      </c>
    </row>
    <row r="2472" spans="1:10" s="1702" customFormat="1" ht="17.100000000000001" hidden="1" customHeight="1" thickBot="1">
      <c r="A2472" s="1756"/>
      <c r="B2472" s="1755"/>
      <c r="C2472" s="4184" t="s">
        <v>941</v>
      </c>
      <c r="D2472" s="4184"/>
      <c r="E2472" s="1815">
        <v>0</v>
      </c>
      <c r="F2472" s="1850"/>
      <c r="G2472" s="1849"/>
      <c r="H2472" s="1757" t="e">
        <f t="shared" si="177"/>
        <v>#DIV/0!</v>
      </c>
    </row>
    <row r="2473" spans="1:10" s="1702" customFormat="1" ht="17.100000000000001" hidden="1" customHeight="1" thickBot="1">
      <c r="A2473" s="1756"/>
      <c r="B2473" s="1755"/>
      <c r="C2473" s="4185" t="s">
        <v>940</v>
      </c>
      <c r="D2473" s="4186"/>
      <c r="E2473" s="1850">
        <v>0</v>
      </c>
      <c r="F2473" s="1850"/>
      <c r="G2473" s="1849"/>
      <c r="H2473" s="1757" t="e">
        <f t="shared" si="177"/>
        <v>#DIV/0!</v>
      </c>
    </row>
    <row r="2474" spans="1:10" s="1702" customFormat="1" ht="17.100000000000001" hidden="1" customHeight="1" thickBot="1">
      <c r="A2474" s="1756"/>
      <c r="B2474" s="1755"/>
      <c r="C2474" s="1865" t="s">
        <v>553</v>
      </c>
      <c r="D2474" s="1864" t="s">
        <v>1072</v>
      </c>
      <c r="E2474" s="2120">
        <v>0</v>
      </c>
      <c r="F2474" s="1850"/>
      <c r="G2474" s="1849"/>
      <c r="H2474" s="2127" t="e">
        <f t="shared" si="177"/>
        <v>#DIV/0!</v>
      </c>
    </row>
    <row r="2475" spans="1:10" s="1702" customFormat="1" ht="27" customHeight="1" thickBot="1">
      <c r="A2475" s="1756"/>
      <c r="B2475" s="1768" t="s">
        <v>1071</v>
      </c>
      <c r="C2475" s="1839"/>
      <c r="D2475" s="1838" t="s">
        <v>1070</v>
      </c>
      <c r="E2475" s="1818">
        <f t="shared" ref="E2475:G2476" si="178">SUM(E2476)</f>
        <v>101200</v>
      </c>
      <c r="F2475" s="1818">
        <f t="shared" si="178"/>
        <v>290129</v>
      </c>
      <c r="G2475" s="1817">
        <f t="shared" si="178"/>
        <v>73400</v>
      </c>
      <c r="H2475" s="1763">
        <f t="shared" si="177"/>
        <v>0.25299091093961651</v>
      </c>
    </row>
    <row r="2476" spans="1:10" s="1702" customFormat="1" ht="12.75" customHeight="1">
      <c r="A2476" s="1756"/>
      <c r="B2476" s="4187"/>
      <c r="C2476" s="4085" t="s">
        <v>944</v>
      </c>
      <c r="D2476" s="4085"/>
      <c r="E2476" s="1815">
        <f t="shared" si="178"/>
        <v>101200</v>
      </c>
      <c r="F2476" s="1815">
        <f t="shared" si="178"/>
        <v>290129</v>
      </c>
      <c r="G2476" s="1761">
        <f t="shared" si="178"/>
        <v>73400</v>
      </c>
      <c r="H2476" s="1814">
        <f t="shared" si="177"/>
        <v>0.25299091093961651</v>
      </c>
      <c r="J2476" s="1702" t="s">
        <v>1064</v>
      </c>
    </row>
    <row r="2477" spans="1:10" s="1702" customFormat="1" ht="16.5" customHeight="1">
      <c r="A2477" s="1756"/>
      <c r="B2477" s="4084"/>
      <c r="C2477" s="4188" t="s">
        <v>967</v>
      </c>
      <c r="D2477" s="4188"/>
      <c r="E2477" s="1850">
        <f>SUM(E2478,E2483)</f>
        <v>101200</v>
      </c>
      <c r="F2477" s="1850">
        <f>SUM(F2478,F2483)</f>
        <v>290129</v>
      </c>
      <c r="G2477" s="1849">
        <f>SUM(G2478,G2483)</f>
        <v>73400</v>
      </c>
      <c r="H2477" s="1757">
        <f t="shared" si="177"/>
        <v>0.25299091093961651</v>
      </c>
    </row>
    <row r="2478" spans="1:10" s="1702" customFormat="1" ht="15" customHeight="1">
      <c r="A2478" s="1756"/>
      <c r="B2478" s="4084"/>
      <c r="C2478" s="4100" t="s">
        <v>966</v>
      </c>
      <c r="D2478" s="4100"/>
      <c r="E2478" s="2126">
        <f>SUM(E2479:E2481)</f>
        <v>98200</v>
      </c>
      <c r="F2478" s="2126">
        <f>SUM(F2479:F2481)</f>
        <v>287129</v>
      </c>
      <c r="G2478" s="2118">
        <f>SUM(G2479:G2481)</f>
        <v>70400</v>
      </c>
      <c r="H2478" s="1807">
        <f t="shared" si="177"/>
        <v>0.24518596171059001</v>
      </c>
    </row>
    <row r="2479" spans="1:10" s="1702" customFormat="1" ht="16.5" customHeight="1">
      <c r="A2479" s="1756"/>
      <c r="B2479" s="4084"/>
      <c r="C2479" s="2125" t="s">
        <v>1016</v>
      </c>
      <c r="D2479" s="2124" t="s">
        <v>1015</v>
      </c>
      <c r="E2479" s="2120">
        <v>82080</v>
      </c>
      <c r="F2479" s="1850">
        <v>239994</v>
      </c>
      <c r="G2479" s="1849">
        <v>58843</v>
      </c>
      <c r="H2479" s="1757">
        <f t="shared" si="177"/>
        <v>0.24518529629907415</v>
      </c>
    </row>
    <row r="2480" spans="1:10" s="1702" customFormat="1" ht="17.25" customHeight="1">
      <c r="A2480" s="1756"/>
      <c r="B2480" s="4084"/>
      <c r="C2480" s="2123" t="s">
        <v>965</v>
      </c>
      <c r="D2480" s="2122" t="s">
        <v>964</v>
      </c>
      <c r="E2480" s="2120">
        <v>14110</v>
      </c>
      <c r="F2480" s="1850">
        <v>41256</v>
      </c>
      <c r="G2480" s="1849">
        <v>10115</v>
      </c>
      <c r="H2480" s="1757">
        <f t="shared" si="177"/>
        <v>0.24517645918169478</v>
      </c>
    </row>
    <row r="2481" spans="1:10" s="1702" customFormat="1" ht="16.5" customHeight="1">
      <c r="A2481" s="1756"/>
      <c r="B2481" s="4084"/>
      <c r="C2481" s="2123" t="s">
        <v>963</v>
      </c>
      <c r="D2481" s="2122" t="s">
        <v>962</v>
      </c>
      <c r="E2481" s="2120">
        <v>2010</v>
      </c>
      <c r="F2481" s="1850">
        <v>5879</v>
      </c>
      <c r="G2481" s="1849">
        <v>1442</v>
      </c>
      <c r="H2481" s="1757">
        <f t="shared" si="177"/>
        <v>0.24527980949141009</v>
      </c>
    </row>
    <row r="2482" spans="1:10" s="1702" customFormat="1" ht="12.75" customHeight="1">
      <c r="A2482" s="1756"/>
      <c r="B2482" s="4084"/>
      <c r="C2482" s="2121"/>
      <c r="D2482" s="2121"/>
      <c r="E2482" s="2120"/>
      <c r="F2482" s="1850"/>
      <c r="G2482" s="1849"/>
      <c r="H2482" s="1757"/>
    </row>
    <row r="2483" spans="1:10" s="1702" customFormat="1" ht="17.100000000000001" customHeight="1">
      <c r="A2483" s="1756"/>
      <c r="B2483" s="4084"/>
      <c r="C2483" s="4189" t="s">
        <v>961</v>
      </c>
      <c r="D2483" s="4190"/>
      <c r="E2483" s="2119">
        <f>SUM(E2485)</f>
        <v>3000</v>
      </c>
      <c r="F2483" s="2119">
        <f>SUM(F2485)</f>
        <v>3000</v>
      </c>
      <c r="G2483" s="2118">
        <f>SUM(G2485)</f>
        <v>3000</v>
      </c>
      <c r="H2483" s="1807">
        <f t="shared" ref="H2483:H2492" si="179">G2483/F2483</f>
        <v>1</v>
      </c>
    </row>
    <row r="2484" spans="1:10" s="1702" customFormat="1" ht="17.100000000000001" hidden="1" customHeight="1">
      <c r="A2484" s="1756"/>
      <c r="B2484" s="4084"/>
      <c r="C2484" s="2117" t="s">
        <v>613</v>
      </c>
      <c r="D2484" s="2116" t="s">
        <v>960</v>
      </c>
      <c r="E2484" s="2115">
        <v>0</v>
      </c>
      <c r="F2484" s="1850"/>
      <c r="G2484" s="1849"/>
      <c r="H2484" s="1757" t="e">
        <f t="shared" si="179"/>
        <v>#DIV/0!</v>
      </c>
    </row>
    <row r="2485" spans="1:10" s="1702" customFormat="1" ht="16.5" customHeight="1" thickBot="1">
      <c r="A2485" s="1756"/>
      <c r="B2485" s="2077"/>
      <c r="C2485" s="2114" t="s">
        <v>982</v>
      </c>
      <c r="D2485" s="2113" t="s">
        <v>981</v>
      </c>
      <c r="E2485" s="1739">
        <v>3000</v>
      </c>
      <c r="F2485" s="1739">
        <v>3000</v>
      </c>
      <c r="G2485" s="1738">
        <v>3000</v>
      </c>
      <c r="H2485" s="2017">
        <f t="shared" si="179"/>
        <v>1</v>
      </c>
    </row>
    <row r="2486" spans="1:10" s="1702" customFormat="1" ht="28.5" customHeight="1" thickBot="1">
      <c r="A2486" s="1831"/>
      <c r="B2486" s="2112" t="s">
        <v>1069</v>
      </c>
      <c r="C2486" s="2111"/>
      <c r="D2486" s="2110" t="s">
        <v>1068</v>
      </c>
      <c r="E2486" s="2109">
        <f t="shared" ref="E2486:G2487" si="180">SUM(E2487)</f>
        <v>1300</v>
      </c>
      <c r="F2486" s="2109">
        <f t="shared" si="180"/>
        <v>2472</v>
      </c>
      <c r="G2486" s="2108">
        <f t="shared" si="180"/>
        <v>1300</v>
      </c>
      <c r="H2486" s="2107">
        <f t="shared" si="179"/>
        <v>0.52588996763754048</v>
      </c>
    </row>
    <row r="2487" spans="1:10" s="1702" customFormat="1" ht="17.100000000000001" customHeight="1">
      <c r="A2487" s="1756"/>
      <c r="B2487" s="4191"/>
      <c r="C2487" s="4085" t="s">
        <v>944</v>
      </c>
      <c r="D2487" s="4085"/>
      <c r="E2487" s="1815">
        <f t="shared" si="180"/>
        <v>1300</v>
      </c>
      <c r="F2487" s="1815">
        <f t="shared" si="180"/>
        <v>2472</v>
      </c>
      <c r="G2487" s="1761">
        <f t="shared" si="180"/>
        <v>1300</v>
      </c>
      <c r="H2487" s="1814">
        <f t="shared" si="179"/>
        <v>0.52588996763754048</v>
      </c>
      <c r="J2487" s="1702" t="s">
        <v>1064</v>
      </c>
    </row>
    <row r="2488" spans="1:10" s="1702" customFormat="1" ht="17.100000000000001" customHeight="1">
      <c r="A2488" s="1756"/>
      <c r="B2488" s="4191"/>
      <c r="C2488" s="4180" t="s">
        <v>967</v>
      </c>
      <c r="D2488" s="4180"/>
      <c r="E2488" s="1850">
        <f>SUM(E2489,E2494)</f>
        <v>1300</v>
      </c>
      <c r="F2488" s="1850">
        <f>SUM(F2489,F2494)</f>
        <v>2472</v>
      </c>
      <c r="G2488" s="1849">
        <f>SUM(G2489,G2494)</f>
        <v>1300</v>
      </c>
      <c r="H2488" s="1757">
        <f t="shared" si="179"/>
        <v>0.52588996763754048</v>
      </c>
    </row>
    <row r="2489" spans="1:10" s="1702" customFormat="1" ht="17.100000000000001" hidden="1" customHeight="1">
      <c r="A2489" s="1756"/>
      <c r="B2489" s="4191"/>
      <c r="C2489" s="4100" t="s">
        <v>966</v>
      </c>
      <c r="D2489" s="4100"/>
      <c r="E2489" s="1859">
        <f>SUM(E2490:E2492)</f>
        <v>0</v>
      </c>
      <c r="F2489" s="1859">
        <f>SUM(F2490:F2492)</f>
        <v>1172</v>
      </c>
      <c r="G2489" s="1858">
        <f>SUM(G2490:G2492)</f>
        <v>0</v>
      </c>
      <c r="H2489" s="1807">
        <f t="shared" si="179"/>
        <v>0</v>
      </c>
    </row>
    <row r="2490" spans="1:10" s="1702" customFormat="1" ht="17.100000000000001" hidden="1" customHeight="1">
      <c r="A2490" s="1756"/>
      <c r="B2490" s="4191"/>
      <c r="C2490" s="2106" t="s">
        <v>1016</v>
      </c>
      <c r="D2490" s="2093" t="s">
        <v>1015</v>
      </c>
      <c r="E2490" s="1850">
        <v>0</v>
      </c>
      <c r="F2490" s="1850">
        <v>980</v>
      </c>
      <c r="G2490" s="1849">
        <v>0</v>
      </c>
      <c r="H2490" s="1757">
        <f t="shared" si="179"/>
        <v>0</v>
      </c>
    </row>
    <row r="2491" spans="1:10" s="1702" customFormat="1" ht="17.100000000000001" hidden="1" customHeight="1">
      <c r="A2491" s="1756"/>
      <c r="B2491" s="4191"/>
      <c r="C2491" s="2096" t="s">
        <v>965</v>
      </c>
      <c r="D2491" s="2092" t="s">
        <v>964</v>
      </c>
      <c r="E2491" s="1850">
        <v>0</v>
      </c>
      <c r="F2491" s="1850">
        <v>168</v>
      </c>
      <c r="G2491" s="1849">
        <v>0</v>
      </c>
      <c r="H2491" s="1757">
        <f t="shared" si="179"/>
        <v>0</v>
      </c>
    </row>
    <row r="2492" spans="1:10" s="1702" customFormat="1" ht="17.100000000000001" hidden="1" customHeight="1">
      <c r="A2492" s="1756"/>
      <c r="B2492" s="4191"/>
      <c r="C2492" s="2096" t="s">
        <v>963</v>
      </c>
      <c r="D2492" s="2092" t="s">
        <v>1067</v>
      </c>
      <c r="E2492" s="1850">
        <v>0</v>
      </c>
      <c r="F2492" s="1850">
        <v>24</v>
      </c>
      <c r="G2492" s="1849">
        <v>0</v>
      </c>
      <c r="H2492" s="1757">
        <f t="shared" si="179"/>
        <v>0</v>
      </c>
    </row>
    <row r="2493" spans="1:10" s="1702" customFormat="1" ht="17.100000000000001" hidden="1" customHeight="1">
      <c r="A2493" s="1756"/>
      <c r="B2493" s="4191"/>
      <c r="C2493" s="2088"/>
      <c r="D2493" s="2088"/>
      <c r="E2493" s="1850"/>
      <c r="F2493" s="1850"/>
      <c r="G2493" s="1849"/>
      <c r="H2493" s="1757"/>
    </row>
    <row r="2494" spans="1:10" s="1702" customFormat="1" ht="17.100000000000001" customHeight="1">
      <c r="A2494" s="1756"/>
      <c r="B2494" s="4191"/>
      <c r="C2494" s="4178" t="s">
        <v>961</v>
      </c>
      <c r="D2494" s="4178"/>
      <c r="E2494" s="1859">
        <f>SUM(E2496)</f>
        <v>1300</v>
      </c>
      <c r="F2494" s="1859">
        <f>SUM(F2496)</f>
        <v>1300</v>
      </c>
      <c r="G2494" s="1858">
        <f>SUM(G2496)</f>
        <v>1300</v>
      </c>
      <c r="H2494" s="1807">
        <f t="shared" ref="H2494:H2503" si="181">G2494/F2494</f>
        <v>1</v>
      </c>
    </row>
    <row r="2495" spans="1:10" s="1702" customFormat="1" ht="17.25" hidden="1" customHeight="1">
      <c r="A2495" s="1756"/>
      <c r="B2495" s="4191"/>
      <c r="C2495" s="2096" t="s">
        <v>613</v>
      </c>
      <c r="D2495" s="2092" t="s">
        <v>960</v>
      </c>
      <c r="E2495" s="1850">
        <v>0</v>
      </c>
      <c r="F2495" s="1850"/>
      <c r="G2495" s="1849"/>
      <c r="H2495" s="1757" t="e">
        <f t="shared" si="181"/>
        <v>#DIV/0!</v>
      </c>
    </row>
    <row r="2496" spans="1:10" s="1702" customFormat="1" ht="19.5" customHeight="1" thickBot="1">
      <c r="A2496" s="1756"/>
      <c r="B2496" s="4192"/>
      <c r="C2496" s="2086" t="s">
        <v>982</v>
      </c>
      <c r="D2496" s="2085" t="s">
        <v>981</v>
      </c>
      <c r="E2496" s="1739">
        <v>1300</v>
      </c>
      <c r="F2496" s="1739">
        <v>1300</v>
      </c>
      <c r="G2496" s="1738">
        <v>1300</v>
      </c>
      <c r="H2496" s="2017">
        <f t="shared" si="181"/>
        <v>1</v>
      </c>
    </row>
    <row r="2497" spans="1:10" s="1702" customFormat="1" ht="20.25" customHeight="1" thickBot="1">
      <c r="A2497" s="1831"/>
      <c r="B2497" s="1768" t="s">
        <v>1066</v>
      </c>
      <c r="C2497" s="2105"/>
      <c r="D2497" s="1838" t="s">
        <v>1065</v>
      </c>
      <c r="E2497" s="1818">
        <f t="shared" ref="E2497:G2498" si="182">SUM(E2498)</f>
        <v>100000</v>
      </c>
      <c r="F2497" s="1818">
        <f t="shared" si="182"/>
        <v>151636</v>
      </c>
      <c r="G2497" s="1817">
        <f t="shared" si="182"/>
        <v>100000</v>
      </c>
      <c r="H2497" s="1763">
        <f t="shared" si="181"/>
        <v>0.6594740035347807</v>
      </c>
    </row>
    <row r="2498" spans="1:10" s="1702" customFormat="1" ht="17.100000000000001" customHeight="1">
      <c r="A2498" s="1756"/>
      <c r="B2498" s="1831"/>
      <c r="C2498" s="4085" t="s">
        <v>944</v>
      </c>
      <c r="D2498" s="4085"/>
      <c r="E2498" s="2104">
        <f t="shared" si="182"/>
        <v>100000</v>
      </c>
      <c r="F2498" s="2104">
        <f t="shared" si="182"/>
        <v>151636</v>
      </c>
      <c r="G2498" s="2103">
        <f t="shared" si="182"/>
        <v>100000</v>
      </c>
      <c r="H2498" s="1814">
        <f t="shared" si="181"/>
        <v>0.6594740035347807</v>
      </c>
      <c r="J2498" s="1702" t="s">
        <v>1064</v>
      </c>
    </row>
    <row r="2499" spans="1:10" s="1702" customFormat="1" ht="17.100000000000001" customHeight="1">
      <c r="A2499" s="1756"/>
      <c r="B2499" s="1831"/>
      <c r="C2499" s="4176" t="s">
        <v>967</v>
      </c>
      <c r="D2499" s="4176"/>
      <c r="E2499" s="1850">
        <f>SUM(E2500,E2505)</f>
        <v>100000</v>
      </c>
      <c r="F2499" s="1850">
        <f>SUM(F2500,F2505)</f>
        <v>151636</v>
      </c>
      <c r="G2499" s="1849">
        <f>SUM(G2500,G2505)</f>
        <v>100000</v>
      </c>
      <c r="H2499" s="1757">
        <f t="shared" si="181"/>
        <v>0.6594740035347807</v>
      </c>
    </row>
    <row r="2500" spans="1:10" s="1702" customFormat="1" ht="17.100000000000001" customHeight="1">
      <c r="A2500" s="1756"/>
      <c r="B2500" s="1831"/>
      <c r="C2500" s="4067" t="s">
        <v>966</v>
      </c>
      <c r="D2500" s="4177"/>
      <c r="E2500" s="1859">
        <f>SUM(E2501:E2503)</f>
        <v>97000</v>
      </c>
      <c r="F2500" s="1859">
        <f>SUM(F2501:F2503)</f>
        <v>148636</v>
      </c>
      <c r="G2500" s="1858">
        <f>SUM(G2501:G2503)</f>
        <v>97000</v>
      </c>
      <c r="H2500" s="1807">
        <f t="shared" si="181"/>
        <v>0.65260098495653807</v>
      </c>
    </row>
    <row r="2501" spans="1:10" s="1702" customFormat="1" ht="17.100000000000001" customHeight="1">
      <c r="A2501" s="1756"/>
      <c r="B2501" s="1831"/>
      <c r="C2501" s="2102" t="s">
        <v>1016</v>
      </c>
      <c r="D2501" s="2093" t="s">
        <v>1015</v>
      </c>
      <c r="E2501" s="1850">
        <v>81077</v>
      </c>
      <c r="F2501" s="1850">
        <v>124236</v>
      </c>
      <c r="G2501" s="1849">
        <v>81077</v>
      </c>
      <c r="H2501" s="1757">
        <f t="shared" si="181"/>
        <v>0.6526047200489391</v>
      </c>
    </row>
    <row r="2502" spans="1:10" s="1702" customFormat="1" ht="17.100000000000001" customHeight="1" thickBot="1">
      <c r="A2502" s="1756"/>
      <c r="B2502" s="1831"/>
      <c r="C2502" s="2101" t="s">
        <v>965</v>
      </c>
      <c r="D2502" s="2100" t="s">
        <v>964</v>
      </c>
      <c r="E2502" s="1850">
        <v>13937</v>
      </c>
      <c r="F2502" s="1850">
        <v>21356</v>
      </c>
      <c r="G2502" s="1849">
        <v>13937</v>
      </c>
      <c r="H2502" s="2017">
        <f t="shared" si="181"/>
        <v>0.65260348379846411</v>
      </c>
    </row>
    <row r="2503" spans="1:10" s="1702" customFormat="1" ht="16.5" customHeight="1">
      <c r="A2503" s="1831"/>
      <c r="B2503" s="1831"/>
      <c r="C2503" s="1878" t="s">
        <v>963</v>
      </c>
      <c r="D2503" s="1771" t="s">
        <v>962</v>
      </c>
      <c r="E2503" s="1870">
        <v>1986</v>
      </c>
      <c r="F2503" s="1870">
        <v>3044</v>
      </c>
      <c r="G2503" s="1802">
        <v>1986</v>
      </c>
      <c r="H2503" s="2099">
        <f t="shared" si="181"/>
        <v>0.65243101182654406</v>
      </c>
    </row>
    <row r="2504" spans="1:10" s="1702" customFormat="1" ht="16.5" customHeight="1">
      <c r="A2504" s="1756"/>
      <c r="B2504" s="1831"/>
      <c r="C2504" s="2098"/>
      <c r="D2504" s="2097"/>
      <c r="E2504" s="1850"/>
      <c r="F2504" s="1850"/>
      <c r="G2504" s="1849"/>
      <c r="H2504" s="1757"/>
    </row>
    <row r="2505" spans="1:10" s="1702" customFormat="1" ht="17.100000000000001" customHeight="1">
      <c r="A2505" s="1756"/>
      <c r="B2505" s="1831"/>
      <c r="C2505" s="4178" t="s">
        <v>961</v>
      </c>
      <c r="D2505" s="4178"/>
      <c r="E2505" s="1859">
        <f>SUM(E2507)</f>
        <v>3000</v>
      </c>
      <c r="F2505" s="1859">
        <f>SUM(F2507)</f>
        <v>3000</v>
      </c>
      <c r="G2505" s="1858">
        <f>SUM(G2507)</f>
        <v>3000</v>
      </c>
      <c r="H2505" s="1807">
        <f t="shared" ref="H2505:H2515" si="183">G2505/F2505</f>
        <v>1</v>
      </c>
    </row>
    <row r="2506" spans="1:10" s="1702" customFormat="1" ht="17.25" hidden="1" customHeight="1">
      <c r="A2506" s="1756"/>
      <c r="B2506" s="1831"/>
      <c r="C2506" s="2096" t="s">
        <v>613</v>
      </c>
      <c r="D2506" s="2092" t="s">
        <v>960</v>
      </c>
      <c r="E2506" s="1850">
        <v>0</v>
      </c>
      <c r="F2506" s="1850"/>
      <c r="G2506" s="1849"/>
      <c r="H2506" s="1757" t="e">
        <f t="shared" si="183"/>
        <v>#DIV/0!</v>
      </c>
    </row>
    <row r="2507" spans="1:10" s="1702" customFormat="1" ht="18.75" customHeight="1" thickBot="1">
      <c r="A2507" s="1743"/>
      <c r="B2507" s="1847"/>
      <c r="C2507" s="2086" t="s">
        <v>982</v>
      </c>
      <c r="D2507" s="2085" t="s">
        <v>981</v>
      </c>
      <c r="E2507" s="1739">
        <v>3000</v>
      </c>
      <c r="F2507" s="1739">
        <v>3000</v>
      </c>
      <c r="G2507" s="1738">
        <v>3000</v>
      </c>
      <c r="H2507" s="1769">
        <f t="shared" si="183"/>
        <v>1</v>
      </c>
    </row>
    <row r="2508" spans="1:10" s="1702" customFormat="1" ht="17.100000000000001" customHeight="1" thickBot="1">
      <c r="A2508" s="1886"/>
      <c r="B2508" s="1768" t="s">
        <v>1063</v>
      </c>
      <c r="C2508" s="1839"/>
      <c r="D2508" s="1838" t="s">
        <v>50</v>
      </c>
      <c r="E2508" s="1818">
        <f>SUM(E2509,E2526)</f>
        <v>37000</v>
      </c>
      <c r="F2508" s="1818">
        <f>SUM(F2509,F2526)</f>
        <v>140550</v>
      </c>
      <c r="G2508" s="1817">
        <f>SUM(G2509,G2526)</f>
        <v>194000</v>
      </c>
      <c r="H2508" s="1763">
        <f t="shared" si="183"/>
        <v>1.3802917111348274</v>
      </c>
    </row>
    <row r="2509" spans="1:10" s="1702" customFormat="1" ht="17.100000000000001" customHeight="1">
      <c r="A2509" s="1756"/>
      <c r="B2509" s="4084"/>
      <c r="C2509" s="4085" t="s">
        <v>944</v>
      </c>
      <c r="D2509" s="4085"/>
      <c r="E2509" s="2095">
        <f>SUM(E2510,E2523)</f>
        <v>37000</v>
      </c>
      <c r="F2509" s="2095">
        <f>SUM(F2510,F2523)</f>
        <v>80550</v>
      </c>
      <c r="G2509" s="2094">
        <f>SUM(G2510,G2523)</f>
        <v>194000</v>
      </c>
      <c r="H2509" s="1814">
        <f t="shared" si="183"/>
        <v>2.4084419615145873</v>
      </c>
    </row>
    <row r="2510" spans="1:10" s="1702" customFormat="1" ht="17.100000000000001" customHeight="1">
      <c r="A2510" s="1756"/>
      <c r="B2510" s="4084"/>
      <c r="C2510" s="4180" t="s">
        <v>967</v>
      </c>
      <c r="D2510" s="4180"/>
      <c r="E2510" s="1850">
        <f>SUM(E2511,E2517)</f>
        <v>37000</v>
      </c>
      <c r="F2510" s="1850">
        <f>SUM(F2511,F2517)</f>
        <v>56550</v>
      </c>
      <c r="G2510" s="1849">
        <f>SUM(G2511,G2517)</f>
        <v>194000</v>
      </c>
      <c r="H2510" s="1757">
        <f t="shared" si="183"/>
        <v>3.4305923961096374</v>
      </c>
    </row>
    <row r="2511" spans="1:10" s="1702" customFormat="1" ht="17.100000000000001" customHeight="1">
      <c r="A2511" s="1756"/>
      <c r="B2511" s="4084"/>
      <c r="C2511" s="4067" t="s">
        <v>966</v>
      </c>
      <c r="D2511" s="4177"/>
      <c r="E2511" s="1859">
        <f>SUM(E2514)</f>
        <v>2500</v>
      </c>
      <c r="F2511" s="1859">
        <f>SUM(F2514)</f>
        <v>17700</v>
      </c>
      <c r="G2511" s="1858">
        <f>SUM(G2514)</f>
        <v>2500</v>
      </c>
      <c r="H2511" s="1857">
        <f t="shared" si="183"/>
        <v>0.14124293785310735</v>
      </c>
    </row>
    <row r="2512" spans="1:10" s="1702" customFormat="1" ht="17.100000000000001" hidden="1" customHeight="1">
      <c r="A2512" s="1756"/>
      <c r="B2512" s="4084"/>
      <c r="C2512" s="2091" t="s">
        <v>965</v>
      </c>
      <c r="D2512" s="2093" t="s">
        <v>1015</v>
      </c>
      <c r="E2512" s="1850">
        <v>0</v>
      </c>
      <c r="F2512" s="1850"/>
      <c r="G2512" s="1849"/>
      <c r="H2512" s="1848" t="e">
        <f t="shared" si="183"/>
        <v>#DIV/0!</v>
      </c>
    </row>
    <row r="2513" spans="1:10" s="1702" customFormat="1" ht="24.75" hidden="1" customHeight="1">
      <c r="A2513" s="1756"/>
      <c r="B2513" s="4084"/>
      <c r="C2513" s="2091" t="s">
        <v>963</v>
      </c>
      <c r="D2513" s="2092" t="s">
        <v>1062</v>
      </c>
      <c r="E2513" s="1850">
        <v>0</v>
      </c>
      <c r="F2513" s="1850"/>
      <c r="G2513" s="1849"/>
      <c r="H2513" s="1848" t="e">
        <f t="shared" si="183"/>
        <v>#DIV/0!</v>
      </c>
    </row>
    <row r="2514" spans="1:10" s="1702" customFormat="1" ht="17.100000000000001" customHeight="1">
      <c r="A2514" s="1756"/>
      <c r="B2514" s="4084"/>
      <c r="C2514" s="2091" t="s">
        <v>974</v>
      </c>
      <c r="D2514" s="2090" t="s">
        <v>973</v>
      </c>
      <c r="E2514" s="1850">
        <v>2500</v>
      </c>
      <c r="F2514" s="1850">
        <v>17700</v>
      </c>
      <c r="G2514" s="1849">
        <v>2500</v>
      </c>
      <c r="H2514" s="1848">
        <f t="shared" si="183"/>
        <v>0.14124293785310735</v>
      </c>
      <c r="J2514" s="1702" t="s">
        <v>975</v>
      </c>
    </row>
    <row r="2515" spans="1:10" s="1702" customFormat="1" ht="17.100000000000001" hidden="1" customHeight="1">
      <c r="A2515" s="1756"/>
      <c r="B2515" s="4084"/>
      <c r="C2515" s="2091" t="s">
        <v>1012</v>
      </c>
      <c r="D2515" s="2079" t="s">
        <v>1011</v>
      </c>
      <c r="E2515" s="1850">
        <v>0</v>
      </c>
      <c r="F2515" s="1850"/>
      <c r="G2515" s="1849"/>
      <c r="H2515" s="1848" t="e">
        <f t="shared" si="183"/>
        <v>#DIV/0!</v>
      </c>
    </row>
    <row r="2516" spans="1:10" s="1702" customFormat="1" ht="17.100000000000001" customHeight="1">
      <c r="A2516" s="1756"/>
      <c r="B2516" s="4084"/>
      <c r="C2516" s="2090"/>
      <c r="D2516" s="2090"/>
      <c r="E2516" s="1850"/>
      <c r="F2516" s="1850"/>
      <c r="G2516" s="1849"/>
      <c r="H2516" s="1848"/>
    </row>
    <row r="2517" spans="1:10" s="1702" customFormat="1" ht="17.100000000000001" customHeight="1">
      <c r="A2517" s="1756"/>
      <c r="B2517" s="4084"/>
      <c r="C2517" s="4181" t="s">
        <v>961</v>
      </c>
      <c r="D2517" s="4181"/>
      <c r="E2517" s="1859">
        <f>SUM(E2520:E2521)</f>
        <v>34500</v>
      </c>
      <c r="F2517" s="1859">
        <f>SUM(F2520:F2521)</f>
        <v>38850</v>
      </c>
      <c r="G2517" s="1858">
        <f>SUM(G2520:G2521)</f>
        <v>191500</v>
      </c>
      <c r="H2517" s="1857">
        <f>G2517/F2517</f>
        <v>4.929214929214929</v>
      </c>
    </row>
    <row r="2518" spans="1:10" s="1702" customFormat="1" ht="17.100000000000001" hidden="1" customHeight="1">
      <c r="A2518" s="1756"/>
      <c r="B2518" s="4084"/>
      <c r="C2518" s="2089" t="s">
        <v>1010</v>
      </c>
      <c r="D2518" s="2088" t="s">
        <v>1009</v>
      </c>
      <c r="E2518" s="1770">
        <v>0</v>
      </c>
      <c r="F2518" s="1850"/>
      <c r="G2518" s="1849"/>
      <c r="H2518" s="1848" t="e">
        <f>G2518/F2518</f>
        <v>#DIV/0!</v>
      </c>
    </row>
    <row r="2519" spans="1:10" s="1702" customFormat="1" ht="17.100000000000001" hidden="1" customHeight="1">
      <c r="A2519" s="1756"/>
      <c r="B2519" s="4084"/>
      <c r="C2519" s="2089" t="s">
        <v>613</v>
      </c>
      <c r="D2519" s="2088" t="s">
        <v>960</v>
      </c>
      <c r="E2519" s="1770">
        <v>0</v>
      </c>
      <c r="F2519" s="1850"/>
      <c r="G2519" s="1849"/>
      <c r="H2519" s="1848" t="e">
        <f>G2519/F2519</f>
        <v>#DIV/0!</v>
      </c>
    </row>
    <row r="2520" spans="1:10" s="1702" customFormat="1" ht="17.100000000000001" customHeight="1">
      <c r="A2520" s="1756"/>
      <c r="B2520" s="4084"/>
      <c r="C2520" s="1865" t="s">
        <v>959</v>
      </c>
      <c r="D2520" s="2087" t="s">
        <v>958</v>
      </c>
      <c r="E2520" s="1770">
        <v>22000</v>
      </c>
      <c r="F2520" s="1850">
        <v>26350</v>
      </c>
      <c r="G2520" s="1849">
        <v>175000</v>
      </c>
      <c r="H2520" s="1848">
        <f>G2520/F2520</f>
        <v>6.6413662239089186</v>
      </c>
      <c r="J2520" s="1702" t="s">
        <v>975</v>
      </c>
    </row>
    <row r="2521" spans="1:10" s="1702" customFormat="1" ht="17.100000000000001" customHeight="1" thickBot="1">
      <c r="A2521" s="1743"/>
      <c r="B2521" s="4179"/>
      <c r="C2521" s="2086" t="s">
        <v>996</v>
      </c>
      <c r="D2521" s="2085" t="s">
        <v>995</v>
      </c>
      <c r="E2521" s="1739">
        <v>12500</v>
      </c>
      <c r="F2521" s="1739">
        <v>12500</v>
      </c>
      <c r="G2521" s="1738">
        <v>16500</v>
      </c>
      <c r="H2521" s="1848">
        <f>G2521/F2521</f>
        <v>1.32</v>
      </c>
      <c r="J2521" s="1702" t="s">
        <v>975</v>
      </c>
    </row>
    <row r="2522" spans="1:10" s="1702" customFormat="1" ht="17.100000000000001" hidden="1" customHeight="1">
      <c r="A2522" s="1831"/>
      <c r="B2522" s="1755"/>
      <c r="C2522" s="4103"/>
      <c r="D2522" s="4165"/>
      <c r="E2522" s="1870"/>
      <c r="F2522" s="1870"/>
      <c r="G2522" s="1802"/>
      <c r="H2522" s="1848"/>
    </row>
    <row r="2523" spans="1:10" s="1702" customFormat="1" ht="17.100000000000001" hidden="1" customHeight="1">
      <c r="A2523" s="1756"/>
      <c r="B2523" s="1755"/>
      <c r="C2523" s="4166" t="s">
        <v>943</v>
      </c>
      <c r="D2523" s="4166"/>
      <c r="E2523" s="1870">
        <f>SUM(E2524)</f>
        <v>0</v>
      </c>
      <c r="F2523" s="1870">
        <f>SUM(F2524)</f>
        <v>24000</v>
      </c>
      <c r="G2523" s="1802">
        <f>SUM(G2524)</f>
        <v>0</v>
      </c>
      <c r="H2523" s="1837">
        <f>G2523/F2523</f>
        <v>0</v>
      </c>
    </row>
    <row r="2524" spans="1:10" s="1702" customFormat="1" ht="31.5" hidden="1" customHeight="1">
      <c r="A2524" s="1756"/>
      <c r="B2524" s="1755"/>
      <c r="C2524" s="2080" t="s">
        <v>91</v>
      </c>
      <c r="D2524" s="2084" t="s">
        <v>942</v>
      </c>
      <c r="E2524" s="1850">
        <v>0</v>
      </c>
      <c r="F2524" s="1850">
        <v>24000</v>
      </c>
      <c r="G2524" s="1849">
        <v>0</v>
      </c>
      <c r="H2524" s="1848">
        <f>G2524/F2524</f>
        <v>0</v>
      </c>
    </row>
    <row r="2525" spans="1:10" s="1702" customFormat="1" ht="17.100000000000001" hidden="1" customHeight="1">
      <c r="A2525" s="1756"/>
      <c r="B2525" s="1755"/>
      <c r="C2525" s="4167"/>
      <c r="D2525" s="4168"/>
      <c r="E2525" s="1850"/>
      <c r="F2525" s="1850"/>
      <c r="G2525" s="1849"/>
      <c r="H2525" s="1848"/>
    </row>
    <row r="2526" spans="1:10" s="1702" customFormat="1" ht="17.100000000000001" hidden="1" customHeight="1">
      <c r="A2526" s="1756"/>
      <c r="B2526" s="1755"/>
      <c r="C2526" s="4169" t="s">
        <v>941</v>
      </c>
      <c r="D2526" s="4170"/>
      <c r="E2526" s="2083">
        <f>SUM(E2527)</f>
        <v>0</v>
      </c>
      <c r="F2526" s="2083">
        <f>SUM(F2527)</f>
        <v>60000</v>
      </c>
      <c r="G2526" s="2082">
        <f>SUM(G2527)</f>
        <v>0</v>
      </c>
      <c r="H2526" s="2081">
        <f t="shared" ref="H2526:H2535" si="184">G2526/F2526</f>
        <v>0</v>
      </c>
    </row>
    <row r="2527" spans="1:10" s="1702" customFormat="1" ht="17.100000000000001" hidden="1" customHeight="1">
      <c r="A2527" s="1756"/>
      <c r="B2527" s="1755"/>
      <c r="C2527" s="4171" t="s">
        <v>940</v>
      </c>
      <c r="D2527" s="4172"/>
      <c r="E2527" s="1850">
        <f>SUM(E2529)</f>
        <v>0</v>
      </c>
      <c r="F2527" s="1850">
        <f>SUM(F2529)</f>
        <v>60000</v>
      </c>
      <c r="G2527" s="1849">
        <f>SUM(G2529)</f>
        <v>0</v>
      </c>
      <c r="H2527" s="1848">
        <f t="shared" si="184"/>
        <v>0</v>
      </c>
    </row>
    <row r="2528" spans="1:10" s="1702" customFormat="1" ht="58.5" hidden="1" customHeight="1">
      <c r="A2528" s="1756"/>
      <c r="B2528" s="1755"/>
      <c r="C2528" s="2080" t="s">
        <v>540</v>
      </c>
      <c r="D2528" s="2079" t="s">
        <v>1037</v>
      </c>
      <c r="E2528" s="1770">
        <v>0</v>
      </c>
      <c r="F2528" s="1850"/>
      <c r="G2528" s="1849"/>
      <c r="H2528" s="2078" t="e">
        <f t="shared" si="184"/>
        <v>#DIV/0!</v>
      </c>
    </row>
    <row r="2529" spans="1:10" s="1702" customFormat="1" ht="42.75" hidden="1" customHeight="1" thickBot="1">
      <c r="A2529" s="1743"/>
      <c r="B2529" s="2077"/>
      <c r="C2529" s="2076" t="s">
        <v>939</v>
      </c>
      <c r="D2529" s="2075" t="s">
        <v>938</v>
      </c>
      <c r="E2529" s="1739">
        <v>0</v>
      </c>
      <c r="F2529" s="1739">
        <v>60000</v>
      </c>
      <c r="G2529" s="1738">
        <v>0</v>
      </c>
      <c r="H2529" s="2017">
        <f t="shared" si="184"/>
        <v>0</v>
      </c>
    </row>
    <row r="2530" spans="1:10" s="1906" customFormat="1" ht="17.100000000000001" customHeight="1" thickBot="1">
      <c r="A2530" s="2074" t="s">
        <v>813</v>
      </c>
      <c r="B2530" s="2073"/>
      <c r="C2530" s="2072"/>
      <c r="D2530" s="2071" t="s">
        <v>1061</v>
      </c>
      <c r="E2530" s="2070">
        <f>SUM(E2531,E2549,E2558,E2567,E2586,E2596,E2605,E2621,E2636,E2653)</f>
        <v>95239293</v>
      </c>
      <c r="F2530" s="2070">
        <f>SUM(F2531,F2549,F2558,F2567,F2586,F2596,F2605,F2621,F2636,F2653)</f>
        <v>110624956</v>
      </c>
      <c r="G2530" s="2069">
        <f>SUM(G2531,G2549,G2558,G2567,G2586,G2596,G2605,G2621,G2636,G2653)</f>
        <v>110613856</v>
      </c>
      <c r="H2530" s="2068">
        <f t="shared" si="184"/>
        <v>0.99989966097704031</v>
      </c>
      <c r="J2530" s="1702"/>
    </row>
    <row r="2531" spans="1:10" s="1906" customFormat="1" ht="17.100000000000001" customHeight="1" thickBot="1">
      <c r="A2531" s="1923"/>
      <c r="B2531" s="1971" t="s">
        <v>812</v>
      </c>
      <c r="C2531" s="1970"/>
      <c r="D2531" s="1969" t="s">
        <v>1060</v>
      </c>
      <c r="E2531" s="1968">
        <f>SUM(E2532,E2545)</f>
        <v>924000</v>
      </c>
      <c r="F2531" s="1968">
        <f>SUM(F2532,F2545)</f>
        <v>945004</v>
      </c>
      <c r="G2531" s="1967">
        <f>SUM(G2532,G2545)</f>
        <v>1027600</v>
      </c>
      <c r="H2531" s="1966">
        <f t="shared" si="184"/>
        <v>1.0874028046442132</v>
      </c>
      <c r="J2531" s="1702"/>
    </row>
    <row r="2532" spans="1:10" s="1906" customFormat="1" ht="17.100000000000001" customHeight="1">
      <c r="A2532" s="1923"/>
      <c r="B2532" s="2014"/>
      <c r="C2532" s="4130" t="s">
        <v>944</v>
      </c>
      <c r="D2532" s="4130"/>
      <c r="E2532" s="1965">
        <f>SUM(E2533,E2537,E2541)</f>
        <v>924000</v>
      </c>
      <c r="F2532" s="1965">
        <f>SUM(F2533,F2537,F2541)</f>
        <v>933004</v>
      </c>
      <c r="G2532" s="1964">
        <f>SUM(G2533,G2537,G2541)</f>
        <v>1027600</v>
      </c>
      <c r="H2532" s="1963">
        <f t="shared" si="184"/>
        <v>1.1013886328461615</v>
      </c>
      <c r="J2532" s="1702"/>
    </row>
    <row r="2533" spans="1:10" s="1906" customFormat="1" ht="17.100000000000001" customHeight="1">
      <c r="A2533" s="1923"/>
      <c r="B2533" s="2014"/>
      <c r="C2533" s="4173" t="s">
        <v>967</v>
      </c>
      <c r="D2533" s="4173"/>
      <c r="E2533" s="1930">
        <f t="shared" ref="E2533:G2534" si="185">SUM(E2534)</f>
        <v>7000</v>
      </c>
      <c r="F2533" s="1930">
        <f t="shared" si="185"/>
        <v>7000</v>
      </c>
      <c r="G2533" s="1929">
        <f t="shared" si="185"/>
        <v>7000</v>
      </c>
      <c r="H2533" s="2067">
        <f t="shared" si="184"/>
        <v>1</v>
      </c>
      <c r="J2533" s="1702"/>
    </row>
    <row r="2534" spans="1:10" s="1906" customFormat="1" ht="17.100000000000001" customHeight="1">
      <c r="A2534" s="1923"/>
      <c r="B2534" s="2014"/>
      <c r="C2534" s="4174" t="s">
        <v>961</v>
      </c>
      <c r="D2534" s="4175"/>
      <c r="E2534" s="1961">
        <f t="shared" si="185"/>
        <v>7000</v>
      </c>
      <c r="F2534" s="1961">
        <f t="shared" si="185"/>
        <v>7000</v>
      </c>
      <c r="G2534" s="1960">
        <f t="shared" si="185"/>
        <v>7000</v>
      </c>
      <c r="H2534" s="2066">
        <f t="shared" si="184"/>
        <v>1</v>
      </c>
      <c r="J2534" s="1702"/>
    </row>
    <row r="2535" spans="1:10" s="1906" customFormat="1" ht="17.100000000000001" customHeight="1">
      <c r="A2535" s="1923"/>
      <c r="B2535" s="2014"/>
      <c r="C2535" s="2062" t="s">
        <v>959</v>
      </c>
      <c r="D2535" s="2065" t="s">
        <v>958</v>
      </c>
      <c r="E2535" s="1930">
        <v>7000</v>
      </c>
      <c r="F2535" s="1919">
        <v>7000</v>
      </c>
      <c r="G2535" s="1918">
        <v>7000</v>
      </c>
      <c r="H2535" s="1944">
        <f t="shared" si="184"/>
        <v>1</v>
      </c>
      <c r="J2535" s="1702"/>
    </row>
    <row r="2536" spans="1:10" s="1906" customFormat="1" ht="14.25" customHeight="1">
      <c r="A2536" s="1922"/>
      <c r="B2536" s="2014"/>
      <c r="C2536" s="1982"/>
      <c r="D2536" s="1982"/>
      <c r="E2536" s="1965"/>
      <c r="F2536" s="1930"/>
      <c r="G2536" s="1929"/>
      <c r="H2536" s="1928"/>
      <c r="J2536" s="1702"/>
    </row>
    <row r="2537" spans="1:10" s="1906" customFormat="1" ht="17.100000000000001" customHeight="1">
      <c r="A2537" s="1923"/>
      <c r="B2537" s="2014"/>
      <c r="C2537" s="4159" t="s">
        <v>943</v>
      </c>
      <c r="D2537" s="4159"/>
      <c r="E2537" s="1919">
        <f>SUM(E2538:E2539)</f>
        <v>700000</v>
      </c>
      <c r="F2537" s="1919">
        <f>SUM(F2538:F2539)</f>
        <v>655504</v>
      </c>
      <c r="G2537" s="1918">
        <f>SUM(G2538:G2539)</f>
        <v>770000</v>
      </c>
      <c r="H2537" s="1944">
        <f>G2537/F2537</f>
        <v>1.1746686519075398</v>
      </c>
      <c r="J2537" s="1702"/>
    </row>
    <row r="2538" spans="1:10" s="1906" customFormat="1" ht="53.25" customHeight="1">
      <c r="A2538" s="1923"/>
      <c r="B2538" s="2014"/>
      <c r="C2538" s="2057" t="s">
        <v>112</v>
      </c>
      <c r="D2538" s="2056" t="s">
        <v>956</v>
      </c>
      <c r="E2538" s="1919">
        <v>700000</v>
      </c>
      <c r="F2538" s="1919">
        <v>632000</v>
      </c>
      <c r="G2538" s="1918">
        <v>770000</v>
      </c>
      <c r="H2538" s="1944">
        <f>G2538/F2538</f>
        <v>1.2183544303797469</v>
      </c>
      <c r="J2538" s="1702"/>
    </row>
    <row r="2539" spans="1:10" s="1906" customFormat="1" ht="43.5" hidden="1" customHeight="1">
      <c r="A2539" s="1923"/>
      <c r="B2539" s="2014"/>
      <c r="C2539" s="2064" t="s">
        <v>91</v>
      </c>
      <c r="D2539" s="2063" t="s">
        <v>942</v>
      </c>
      <c r="E2539" s="1919">
        <v>0</v>
      </c>
      <c r="F2539" s="1919">
        <v>23504</v>
      </c>
      <c r="G2539" s="1918">
        <v>0</v>
      </c>
      <c r="H2539" s="1944">
        <f>G2539/F2539</f>
        <v>0</v>
      </c>
      <c r="J2539" s="1702"/>
    </row>
    <row r="2540" spans="1:10" s="1906" customFormat="1" ht="17.100000000000001" customHeight="1">
      <c r="A2540" s="1923"/>
      <c r="B2540" s="2014"/>
      <c r="C2540" s="1996"/>
      <c r="D2540" s="1996"/>
      <c r="E2540" s="1995"/>
      <c r="F2540" s="1919"/>
      <c r="G2540" s="1918"/>
      <c r="H2540" s="1944"/>
      <c r="J2540" s="1702"/>
    </row>
    <row r="2541" spans="1:10" s="1906" customFormat="1" ht="17.100000000000001" customHeight="1">
      <c r="A2541" s="1923"/>
      <c r="B2541" s="2014"/>
      <c r="C2541" s="4156" t="s">
        <v>952</v>
      </c>
      <c r="D2541" s="4156"/>
      <c r="E2541" s="1919">
        <f>SUM(E2542:E2543)</f>
        <v>217000</v>
      </c>
      <c r="F2541" s="1919">
        <f>SUM(F2542:F2543)</f>
        <v>270500</v>
      </c>
      <c r="G2541" s="1918">
        <f>SUM(G2542:G2543)</f>
        <v>250600</v>
      </c>
      <c r="H2541" s="1944">
        <f>G2541/F2541</f>
        <v>0.92643253234750467</v>
      </c>
      <c r="J2541" s="1702"/>
    </row>
    <row r="2542" spans="1:10" s="1906" customFormat="1" ht="17.100000000000001" customHeight="1">
      <c r="A2542" s="1923"/>
      <c r="B2542" s="2014"/>
      <c r="C2542" s="2057" t="s">
        <v>951</v>
      </c>
      <c r="D2542" s="2056" t="s">
        <v>950</v>
      </c>
      <c r="E2542" s="1919">
        <v>193000</v>
      </c>
      <c r="F2542" s="1919">
        <v>220500</v>
      </c>
      <c r="G2542" s="1918">
        <v>222000</v>
      </c>
      <c r="H2542" s="1944">
        <f>G2542/F2542</f>
        <v>1.0068027210884354</v>
      </c>
      <c r="J2542" s="1702"/>
    </row>
    <row r="2543" spans="1:10" s="1906" customFormat="1" ht="17.100000000000001" customHeight="1" thickBot="1">
      <c r="A2543" s="1923"/>
      <c r="B2543" s="2014"/>
      <c r="C2543" s="2062" t="s">
        <v>949</v>
      </c>
      <c r="D2543" s="2061" t="s">
        <v>948</v>
      </c>
      <c r="E2543" s="1919">
        <v>24000</v>
      </c>
      <c r="F2543" s="1919">
        <v>50000</v>
      </c>
      <c r="G2543" s="1918">
        <v>28600</v>
      </c>
      <c r="H2543" s="1944">
        <f>G2543/F2543</f>
        <v>0.57199999999999995</v>
      </c>
      <c r="J2543" s="1702"/>
    </row>
    <row r="2544" spans="1:10" s="1906" customFormat="1" ht="17.100000000000001" hidden="1" customHeight="1">
      <c r="A2544" s="1923"/>
      <c r="B2544" s="1981"/>
      <c r="C2544" s="2046"/>
      <c r="D2544" s="2010"/>
      <c r="E2544" s="1919"/>
      <c r="F2544" s="1919"/>
      <c r="G2544" s="1918"/>
      <c r="H2544" s="1944"/>
      <c r="J2544" s="1702"/>
    </row>
    <row r="2545" spans="1:10" s="1906" customFormat="1" ht="17.100000000000001" hidden="1" customHeight="1">
      <c r="A2545" s="1923"/>
      <c r="B2545" s="1981"/>
      <c r="C2545" s="4157" t="s">
        <v>941</v>
      </c>
      <c r="D2545" s="4158"/>
      <c r="E2545" s="1927">
        <f>SUM(E2546)</f>
        <v>0</v>
      </c>
      <c r="F2545" s="1927">
        <f>SUM(F2546)</f>
        <v>12000</v>
      </c>
      <c r="G2545" s="1926">
        <f>SUM(G2546)</f>
        <v>0</v>
      </c>
      <c r="H2545" s="2055">
        <f t="shared" ref="H2545:H2553" si="186">G2545/F2545</f>
        <v>0</v>
      </c>
      <c r="J2545" s="1702"/>
    </row>
    <row r="2546" spans="1:10" s="1906" customFormat="1" ht="17.100000000000001" hidden="1" customHeight="1">
      <c r="A2546" s="1923"/>
      <c r="B2546" s="1981"/>
      <c r="C2546" s="4144" t="s">
        <v>940</v>
      </c>
      <c r="D2546" s="4145"/>
      <c r="E2546" s="1919">
        <f>SUM(E2548)</f>
        <v>0</v>
      </c>
      <c r="F2546" s="1919">
        <f>SUM(F2548)</f>
        <v>12000</v>
      </c>
      <c r="G2546" s="1918">
        <f>SUM(G2548)</f>
        <v>0</v>
      </c>
      <c r="H2546" s="1944">
        <f t="shared" si="186"/>
        <v>0</v>
      </c>
      <c r="J2546" s="1702"/>
    </row>
    <row r="2547" spans="1:10" s="1906" customFormat="1" ht="52.5" hidden="1" customHeight="1">
      <c r="A2547" s="1923"/>
      <c r="B2547" s="1981"/>
      <c r="C2547" s="2057" t="s">
        <v>947</v>
      </c>
      <c r="D2547" s="2060" t="s">
        <v>946</v>
      </c>
      <c r="E2547" s="2052">
        <v>0</v>
      </c>
      <c r="F2547" s="1919"/>
      <c r="G2547" s="1918"/>
      <c r="H2547" s="1944" t="e">
        <f t="shared" si="186"/>
        <v>#DIV/0!</v>
      </c>
      <c r="J2547" s="1702"/>
    </row>
    <row r="2548" spans="1:10" s="1906" customFormat="1" ht="42.75" hidden="1" customHeight="1" thickBot="1">
      <c r="A2548" s="1923"/>
      <c r="B2548" s="2006"/>
      <c r="C2548" s="2059" t="s">
        <v>939</v>
      </c>
      <c r="D2548" s="2058" t="s">
        <v>938</v>
      </c>
      <c r="E2548" s="1916">
        <v>0</v>
      </c>
      <c r="F2548" s="1916">
        <v>12000</v>
      </c>
      <c r="G2548" s="1915">
        <v>0</v>
      </c>
      <c r="H2548" s="1907">
        <f t="shared" si="186"/>
        <v>0</v>
      </c>
      <c r="J2548" s="1702"/>
    </row>
    <row r="2549" spans="1:10" s="1906" customFormat="1" ht="17.100000000000001" customHeight="1" thickBot="1">
      <c r="A2549" s="1922"/>
      <c r="B2549" s="1971" t="s">
        <v>1059</v>
      </c>
      <c r="C2549" s="1970"/>
      <c r="D2549" s="1969" t="s">
        <v>1058</v>
      </c>
      <c r="E2549" s="1968">
        <f>SUM(E2550,E2555)</f>
        <v>8905406</v>
      </c>
      <c r="F2549" s="1968">
        <f>SUM(F2550,F2555)</f>
        <v>9985324</v>
      </c>
      <c r="G2549" s="1967">
        <f>SUM(G2550,G2555)</f>
        <v>13194231</v>
      </c>
      <c r="H2549" s="2029">
        <f t="shared" si="186"/>
        <v>1.3213623313575003</v>
      </c>
      <c r="J2549" s="1702"/>
    </row>
    <row r="2550" spans="1:10" s="1906" customFormat="1" ht="17.100000000000001" customHeight="1">
      <c r="A2550" s="1923"/>
      <c r="B2550" s="4129"/>
      <c r="C2550" s="4130" t="s">
        <v>944</v>
      </c>
      <c r="D2550" s="4130"/>
      <c r="E2550" s="1965">
        <f>SUM(E2551)</f>
        <v>7585406</v>
      </c>
      <c r="F2550" s="1965">
        <f>SUM(F2551)</f>
        <v>8639706</v>
      </c>
      <c r="G2550" s="1964">
        <f>SUM(G2551)</f>
        <v>8307581</v>
      </c>
      <c r="H2550" s="1963">
        <f t="shared" si="186"/>
        <v>0.96155829839580187</v>
      </c>
      <c r="J2550" s="1702"/>
    </row>
    <row r="2551" spans="1:10" s="1906" customFormat="1" ht="17.100000000000001" customHeight="1">
      <c r="A2551" s="1923"/>
      <c r="B2551" s="4129"/>
      <c r="C2551" s="4159" t="s">
        <v>943</v>
      </c>
      <c r="D2551" s="4159"/>
      <c r="E2551" s="1919">
        <f>SUM(E2552:E2553)</f>
        <v>7585406</v>
      </c>
      <c r="F2551" s="1919">
        <f>SUM(F2552:F2553)</f>
        <v>8639706</v>
      </c>
      <c r="G2551" s="1918">
        <f>SUM(G2552:G2553)</f>
        <v>8307581</v>
      </c>
      <c r="H2551" s="1944">
        <f t="shared" si="186"/>
        <v>0.96155829839580187</v>
      </c>
      <c r="J2551" s="1702"/>
    </row>
    <row r="2552" spans="1:10" s="1906" customFormat="1" ht="17.100000000000001" customHeight="1">
      <c r="A2552" s="1923"/>
      <c r="B2552" s="4129"/>
      <c r="C2552" s="2057" t="s">
        <v>1041</v>
      </c>
      <c r="D2552" s="2056" t="s">
        <v>1040</v>
      </c>
      <c r="E2552" s="1919">
        <v>6585406</v>
      </c>
      <c r="F2552" s="1919">
        <v>7054406</v>
      </c>
      <c r="G2552" s="1918">
        <v>7207581</v>
      </c>
      <c r="H2552" s="1944">
        <f t="shared" si="186"/>
        <v>1.0217133802619243</v>
      </c>
      <c r="J2552" s="1702"/>
    </row>
    <row r="2553" spans="1:10" s="1906" customFormat="1" ht="27.75" customHeight="1">
      <c r="A2553" s="1923"/>
      <c r="B2553" s="4129"/>
      <c r="C2553" s="2057" t="s">
        <v>1039</v>
      </c>
      <c r="D2553" s="2056" t="s">
        <v>1038</v>
      </c>
      <c r="E2553" s="1919">
        <v>1000000</v>
      </c>
      <c r="F2553" s="1919">
        <v>1585300</v>
      </c>
      <c r="G2553" s="1918">
        <v>1100000</v>
      </c>
      <c r="H2553" s="1944">
        <f t="shared" si="186"/>
        <v>0.69387497634517126</v>
      </c>
      <c r="J2553" s="1702"/>
    </row>
    <row r="2554" spans="1:10" s="1906" customFormat="1" ht="15">
      <c r="A2554" s="1923"/>
      <c r="B2554" s="1981"/>
      <c r="C2554" s="4160"/>
      <c r="D2554" s="4161"/>
      <c r="E2554" s="1919"/>
      <c r="F2554" s="1919"/>
      <c r="G2554" s="1918"/>
      <c r="H2554" s="1944"/>
      <c r="J2554" s="1702"/>
    </row>
    <row r="2555" spans="1:10" s="1906" customFormat="1" ht="15">
      <c r="A2555" s="1923"/>
      <c r="B2555" s="1981"/>
      <c r="C2555" s="4162" t="s">
        <v>941</v>
      </c>
      <c r="D2555" s="4163"/>
      <c r="E2555" s="1927">
        <f t="shared" ref="E2555:G2556" si="187">SUM(E2556)</f>
        <v>1320000</v>
      </c>
      <c r="F2555" s="1927">
        <f t="shared" si="187"/>
        <v>1345618</v>
      </c>
      <c r="G2555" s="1926">
        <f t="shared" si="187"/>
        <v>4886650</v>
      </c>
      <c r="H2555" s="2055">
        <f t="shared" ref="H2555:H2562" si="188">G2555/F2555</f>
        <v>3.6315284129671275</v>
      </c>
      <c r="J2555" s="1702"/>
    </row>
    <row r="2556" spans="1:10" s="1906" customFormat="1" ht="15">
      <c r="A2556" s="1923"/>
      <c r="B2556" s="1981"/>
      <c r="C2556" s="4156" t="s">
        <v>940</v>
      </c>
      <c r="D2556" s="4164"/>
      <c r="E2556" s="1919">
        <f t="shared" si="187"/>
        <v>1320000</v>
      </c>
      <c r="F2556" s="1919">
        <f t="shared" si="187"/>
        <v>1345618</v>
      </c>
      <c r="G2556" s="1918">
        <f t="shared" si="187"/>
        <v>4886650</v>
      </c>
      <c r="H2556" s="1944">
        <f t="shared" si="188"/>
        <v>3.6315284129671275</v>
      </c>
      <c r="J2556" s="1702"/>
    </row>
    <row r="2557" spans="1:10" s="1906" customFormat="1" ht="48" customHeight="1" thickBot="1">
      <c r="A2557" s="1923"/>
      <c r="B2557" s="1981"/>
      <c r="C2557" s="2054" t="s">
        <v>594</v>
      </c>
      <c r="D2557" s="2053" t="s">
        <v>1018</v>
      </c>
      <c r="E2557" s="2052">
        <v>1320000</v>
      </c>
      <c r="F2557" s="1919">
        <v>1345618</v>
      </c>
      <c r="G2557" s="1918">
        <v>4886650</v>
      </c>
      <c r="H2557" s="1972">
        <f t="shared" si="188"/>
        <v>3.6315284129671275</v>
      </c>
      <c r="J2557" s="1702"/>
    </row>
    <row r="2558" spans="1:10" s="1906" customFormat="1" ht="17.100000000000001" customHeight="1" thickBot="1">
      <c r="A2558" s="1923"/>
      <c r="B2558" s="1971" t="s">
        <v>1057</v>
      </c>
      <c r="C2558" s="1970"/>
      <c r="D2558" s="1969" t="s">
        <v>402</v>
      </c>
      <c r="E2558" s="1968">
        <f>SUM(E2559,E2564)</f>
        <v>8643006</v>
      </c>
      <c r="F2558" s="1968">
        <f>SUM(F2559,F2564)</f>
        <v>10957006</v>
      </c>
      <c r="G2558" s="1967">
        <f>SUM(G2559,G2564)</f>
        <v>10671569</v>
      </c>
      <c r="H2558" s="1966">
        <f t="shared" si="188"/>
        <v>0.97394936171432234</v>
      </c>
      <c r="J2558" s="1702"/>
    </row>
    <row r="2559" spans="1:10" s="1906" customFormat="1" ht="17.100000000000001" customHeight="1">
      <c r="A2559" s="1923"/>
      <c r="B2559" s="4129"/>
      <c r="C2559" s="4130" t="s">
        <v>944</v>
      </c>
      <c r="D2559" s="4130"/>
      <c r="E2559" s="1965">
        <f>SUM(E2560)</f>
        <v>8097006</v>
      </c>
      <c r="F2559" s="1965">
        <f>SUM(F2560)</f>
        <v>9851006</v>
      </c>
      <c r="G2559" s="1964">
        <f>SUM(G2560)</f>
        <v>10223569</v>
      </c>
      <c r="H2559" s="1963">
        <f t="shared" si="188"/>
        <v>1.0378197922120846</v>
      </c>
      <c r="J2559" s="1702"/>
    </row>
    <row r="2560" spans="1:10" s="1906" customFormat="1" ht="17.100000000000001" customHeight="1">
      <c r="A2560" s="1923"/>
      <c r="B2560" s="4129"/>
      <c r="C2560" s="4120" t="s">
        <v>943</v>
      </c>
      <c r="D2560" s="4120"/>
      <c r="E2560" s="1919">
        <f>SUM(E2561:E2562)</f>
        <v>8097006</v>
      </c>
      <c r="F2560" s="1919">
        <f>SUM(F2561:F2562)</f>
        <v>9851006</v>
      </c>
      <c r="G2560" s="1918">
        <f>SUM(G2561:G2562)</f>
        <v>10223569</v>
      </c>
      <c r="H2560" s="1944">
        <f t="shared" si="188"/>
        <v>1.0378197922120846</v>
      </c>
      <c r="J2560" s="1702"/>
    </row>
    <row r="2561" spans="1:10" s="1906" customFormat="1" ht="17.100000000000001" customHeight="1">
      <c r="A2561" s="1923"/>
      <c r="B2561" s="4129"/>
      <c r="C2561" s="1942" t="s">
        <v>1041</v>
      </c>
      <c r="D2561" s="1939" t="s">
        <v>1040</v>
      </c>
      <c r="E2561" s="1919">
        <v>7947006</v>
      </c>
      <c r="F2561" s="1919">
        <v>8946006</v>
      </c>
      <c r="G2561" s="1918">
        <v>9573569</v>
      </c>
      <c r="H2561" s="1944">
        <f t="shared" si="188"/>
        <v>1.0701500759109708</v>
      </c>
      <c r="J2561" s="1702"/>
    </row>
    <row r="2562" spans="1:10" s="1906" customFormat="1" ht="28.5" customHeight="1">
      <c r="A2562" s="1923"/>
      <c r="B2562" s="1922"/>
      <c r="C2562" s="1940" t="s">
        <v>1039</v>
      </c>
      <c r="D2562" s="1939" t="s">
        <v>1038</v>
      </c>
      <c r="E2562" s="1919">
        <v>150000</v>
      </c>
      <c r="F2562" s="1919">
        <v>905000</v>
      </c>
      <c r="G2562" s="1918">
        <v>650000</v>
      </c>
      <c r="H2562" s="1944">
        <f t="shared" si="188"/>
        <v>0.71823204419889508</v>
      </c>
      <c r="J2562" s="1702"/>
    </row>
    <row r="2563" spans="1:10" s="1906" customFormat="1" ht="16.5" customHeight="1" thickBot="1">
      <c r="A2563" s="1923"/>
      <c r="B2563" s="1922"/>
      <c r="C2563" s="4117"/>
      <c r="D2563" s="4153"/>
      <c r="E2563" s="1919"/>
      <c r="F2563" s="1919"/>
      <c r="G2563" s="1918"/>
      <c r="H2563" s="1907"/>
      <c r="J2563" s="1702"/>
    </row>
    <row r="2564" spans="1:10" s="1906" customFormat="1" ht="15" customHeight="1">
      <c r="A2564" s="1922"/>
      <c r="B2564" s="1922"/>
      <c r="C2564" s="4119" t="s">
        <v>941</v>
      </c>
      <c r="D2564" s="4154"/>
      <c r="E2564" s="1965">
        <f t="shared" ref="E2564:G2565" si="189">SUM(E2565)</f>
        <v>546000</v>
      </c>
      <c r="F2564" s="1965">
        <f t="shared" si="189"/>
        <v>1106000</v>
      </c>
      <c r="G2564" s="1964">
        <f t="shared" si="189"/>
        <v>448000</v>
      </c>
      <c r="H2564" s="2051">
        <f t="shared" ref="H2564:H2572" si="190">G2564/F2564</f>
        <v>0.4050632911392405</v>
      </c>
      <c r="J2564" s="1702"/>
    </row>
    <row r="2565" spans="1:10" s="1906" customFormat="1" ht="16.5" customHeight="1">
      <c r="A2565" s="1923"/>
      <c r="B2565" s="1922"/>
      <c r="C2565" s="4108" t="s">
        <v>940</v>
      </c>
      <c r="D2565" s="4155"/>
      <c r="E2565" s="1919">
        <f t="shared" si="189"/>
        <v>546000</v>
      </c>
      <c r="F2565" s="1919">
        <f t="shared" si="189"/>
        <v>1106000</v>
      </c>
      <c r="G2565" s="1918">
        <f t="shared" si="189"/>
        <v>448000</v>
      </c>
      <c r="H2565" s="1944">
        <f t="shared" si="190"/>
        <v>0.4050632911392405</v>
      </c>
      <c r="J2565" s="1702"/>
    </row>
    <row r="2566" spans="1:10" s="1906" customFormat="1" ht="42" customHeight="1" thickBot="1">
      <c r="A2566" s="1913"/>
      <c r="B2566" s="1912"/>
      <c r="C2566" s="1956" t="s">
        <v>594</v>
      </c>
      <c r="D2566" s="2032" t="s">
        <v>1018</v>
      </c>
      <c r="E2566" s="1916">
        <v>546000</v>
      </c>
      <c r="F2566" s="1916">
        <v>1106000</v>
      </c>
      <c r="G2566" s="1915">
        <v>448000</v>
      </c>
      <c r="H2566" s="1972">
        <f t="shared" si="190"/>
        <v>0.4050632911392405</v>
      </c>
      <c r="J2566" s="1702"/>
    </row>
    <row r="2567" spans="1:10" s="1906" customFormat="1" ht="17.100000000000001" customHeight="1" thickBot="1">
      <c r="A2567" s="1954"/>
      <c r="B2567" s="1971" t="s">
        <v>595</v>
      </c>
      <c r="C2567" s="1970"/>
      <c r="D2567" s="1969" t="s">
        <v>1056</v>
      </c>
      <c r="E2567" s="1968">
        <f>SUM(E2568,E2574)</f>
        <v>19849760</v>
      </c>
      <c r="F2567" s="1968">
        <f>SUM(F2568,F2574)</f>
        <v>24874936</v>
      </c>
      <c r="G2567" s="1967">
        <f>SUM(G2568,G2574)</f>
        <v>19834367</v>
      </c>
      <c r="H2567" s="1966">
        <f t="shared" si="190"/>
        <v>0.79736353894538659</v>
      </c>
      <c r="J2567" s="1702"/>
    </row>
    <row r="2568" spans="1:10" s="1906" customFormat="1" ht="17.100000000000001" customHeight="1">
      <c r="A2568" s="1923"/>
      <c r="B2568" s="2014"/>
      <c r="C2568" s="4130" t="s">
        <v>944</v>
      </c>
      <c r="D2568" s="4130"/>
      <c r="E2568" s="1965">
        <f>SUM(E2569)</f>
        <v>11670111</v>
      </c>
      <c r="F2568" s="1965">
        <f>SUM(F2569)</f>
        <v>12397834</v>
      </c>
      <c r="G2568" s="1964">
        <f>SUM(G2569)</f>
        <v>15991229</v>
      </c>
      <c r="H2568" s="1963">
        <f t="shared" si="190"/>
        <v>1.2898405479537796</v>
      </c>
      <c r="J2568" s="1702"/>
    </row>
    <row r="2569" spans="1:10" s="1906" customFormat="1" ht="17.100000000000001" customHeight="1">
      <c r="A2569" s="1923"/>
      <c r="B2569" s="2014"/>
      <c r="C2569" s="4120" t="s">
        <v>943</v>
      </c>
      <c r="D2569" s="4120"/>
      <c r="E2569" s="1919">
        <f>SUM(E2570:E2572)</f>
        <v>11670111</v>
      </c>
      <c r="F2569" s="1919">
        <f>SUM(F2570:F2572)</f>
        <v>12397834</v>
      </c>
      <c r="G2569" s="1918">
        <f>SUM(G2570:G2572)</f>
        <v>15991229</v>
      </c>
      <c r="H2569" s="1944">
        <f t="shared" si="190"/>
        <v>1.2898405479537796</v>
      </c>
      <c r="J2569" s="1702"/>
    </row>
    <row r="2570" spans="1:10" s="1906" customFormat="1" ht="17.100000000000001" customHeight="1">
      <c r="A2570" s="1923"/>
      <c r="B2570" s="2014"/>
      <c r="C2570" s="1942" t="s">
        <v>1041</v>
      </c>
      <c r="D2570" s="1939" t="s">
        <v>1040</v>
      </c>
      <c r="E2570" s="1919">
        <v>10738909</v>
      </c>
      <c r="F2570" s="1919">
        <v>10935682</v>
      </c>
      <c r="G2570" s="1918">
        <f>14934024+50000</f>
        <v>14984024</v>
      </c>
      <c r="H2570" s="1944">
        <f t="shared" si="190"/>
        <v>1.3701956585789528</v>
      </c>
      <c r="J2570" s="1702"/>
    </row>
    <row r="2571" spans="1:10" s="1906" customFormat="1" ht="37.5" hidden="1" customHeight="1">
      <c r="A2571" s="1923"/>
      <c r="B2571" s="2014"/>
      <c r="C2571" s="1942" t="s">
        <v>91</v>
      </c>
      <c r="D2571" s="1939" t="s">
        <v>942</v>
      </c>
      <c r="E2571" s="1919">
        <v>0</v>
      </c>
      <c r="F2571" s="1919">
        <v>169906</v>
      </c>
      <c r="G2571" s="1918">
        <v>0</v>
      </c>
      <c r="H2571" s="1944">
        <f t="shared" si="190"/>
        <v>0</v>
      </c>
      <c r="J2571" s="1702"/>
    </row>
    <row r="2572" spans="1:10" s="1906" customFormat="1" ht="29.25" customHeight="1">
      <c r="A2572" s="1923"/>
      <c r="B2572" s="2014"/>
      <c r="C2572" s="1942" t="s">
        <v>1039</v>
      </c>
      <c r="D2572" s="1939" t="s">
        <v>1038</v>
      </c>
      <c r="E2572" s="1919">
        <v>931202</v>
      </c>
      <c r="F2572" s="1919">
        <v>1292246</v>
      </c>
      <c r="G2572" s="1918">
        <v>1007205</v>
      </c>
      <c r="H2572" s="1944">
        <f t="shared" si="190"/>
        <v>0.77942202955164885</v>
      </c>
      <c r="J2572" s="1702"/>
    </row>
    <row r="2573" spans="1:10" s="1906" customFormat="1" ht="15">
      <c r="A2573" s="1923"/>
      <c r="B2573" s="2014"/>
      <c r="C2573" s="2050"/>
      <c r="D2573" s="2049"/>
      <c r="E2573" s="2048"/>
      <c r="F2573" s="1919"/>
      <c r="G2573" s="1918"/>
      <c r="H2573" s="1944"/>
      <c r="J2573" s="1702"/>
    </row>
    <row r="2574" spans="1:10" s="1906" customFormat="1" ht="18.75" customHeight="1">
      <c r="A2574" s="1922"/>
      <c r="B2574" s="2014"/>
      <c r="C2574" s="4148" t="s">
        <v>941</v>
      </c>
      <c r="D2574" s="4149"/>
      <c r="E2574" s="1965">
        <f>SUM(E2575)</f>
        <v>8179649</v>
      </c>
      <c r="F2574" s="1965">
        <f>SUM(F2575)</f>
        <v>12477102</v>
      </c>
      <c r="G2574" s="1964">
        <f>SUM(G2575)</f>
        <v>3843138</v>
      </c>
      <c r="H2574" s="1963">
        <f t="shared" ref="H2574:H2581" si="191">G2574/F2574</f>
        <v>0.30801527470080792</v>
      </c>
      <c r="J2574" s="1702"/>
    </row>
    <row r="2575" spans="1:10" s="1906" customFormat="1" ht="15">
      <c r="A2575" s="1923"/>
      <c r="B2575" s="2014"/>
      <c r="C2575" s="4144" t="s">
        <v>940</v>
      </c>
      <c r="D2575" s="4145"/>
      <c r="E2575" s="1930">
        <f>SUM(E2576:E2580)</f>
        <v>8179649</v>
      </c>
      <c r="F2575" s="1930">
        <f>SUM(F2576:F2580)</f>
        <v>12477102</v>
      </c>
      <c r="G2575" s="1929">
        <f>SUM(G2576:G2580)</f>
        <v>3843138</v>
      </c>
      <c r="H2575" s="1944">
        <f t="shared" si="191"/>
        <v>0.30801527470080792</v>
      </c>
      <c r="J2575" s="1702"/>
    </row>
    <row r="2576" spans="1:10" s="1906" customFormat="1" ht="42.75" customHeight="1">
      <c r="A2576" s="1923"/>
      <c r="B2576" s="2014"/>
      <c r="C2576" s="1946" t="s">
        <v>594</v>
      </c>
      <c r="D2576" s="2047" t="s">
        <v>1018</v>
      </c>
      <c r="E2576" s="1919">
        <v>2530200</v>
      </c>
      <c r="F2576" s="1919">
        <v>4253982</v>
      </c>
      <c r="G2576" s="1918">
        <v>3315538</v>
      </c>
      <c r="H2576" s="1944">
        <f t="shared" si="191"/>
        <v>0.77939633971182765</v>
      </c>
      <c r="J2576" s="1702"/>
    </row>
    <row r="2577" spans="1:10" s="1906" customFormat="1" ht="40.5" hidden="1" customHeight="1">
      <c r="A2577" s="1923"/>
      <c r="B2577" s="1981"/>
      <c r="C2577" s="2046" t="s">
        <v>939</v>
      </c>
      <c r="D2577" s="2045" t="s">
        <v>938</v>
      </c>
      <c r="E2577" s="1919">
        <v>0</v>
      </c>
      <c r="F2577" s="1919"/>
      <c r="G2577" s="1918"/>
      <c r="H2577" s="1944" t="e">
        <f t="shared" si="191"/>
        <v>#DIV/0!</v>
      </c>
      <c r="J2577" s="1702"/>
    </row>
    <row r="2578" spans="1:10" s="1906" customFormat="1" ht="47.25" customHeight="1">
      <c r="A2578" s="1923"/>
      <c r="B2578" s="1981"/>
      <c r="C2578" s="1991" t="s">
        <v>1053</v>
      </c>
      <c r="D2578" s="2044" t="s">
        <v>1018</v>
      </c>
      <c r="E2578" s="1919">
        <v>5475468</v>
      </c>
      <c r="F2578" s="1919">
        <v>8037000</v>
      </c>
      <c r="G2578" s="1918">
        <v>350000</v>
      </c>
      <c r="H2578" s="1944">
        <f t="shared" si="191"/>
        <v>4.3548587781510516E-2</v>
      </c>
      <c r="J2578" s="1702"/>
    </row>
    <row r="2579" spans="1:10" s="1906" customFormat="1" ht="54" customHeight="1">
      <c r="A2579" s="1923"/>
      <c r="B2579" s="1981"/>
      <c r="C2579" s="1991" t="s">
        <v>186</v>
      </c>
      <c r="D2579" s="2043" t="s">
        <v>1026</v>
      </c>
      <c r="E2579" s="1919">
        <v>173981</v>
      </c>
      <c r="F2579" s="1919">
        <v>69580</v>
      </c>
      <c r="G2579" s="1918">
        <v>177600</v>
      </c>
      <c r="H2579" s="1914">
        <f t="shared" si="191"/>
        <v>2.5524576027594135</v>
      </c>
      <c r="J2579" s="1702" t="s">
        <v>1025</v>
      </c>
    </row>
    <row r="2580" spans="1:10" s="1906" customFormat="1" ht="54" hidden="1" customHeight="1">
      <c r="A2580" s="1923"/>
      <c r="B2580" s="1981"/>
      <c r="C2580" s="1923" t="s">
        <v>939</v>
      </c>
      <c r="D2580" s="1920" t="s">
        <v>938</v>
      </c>
      <c r="E2580" s="1919">
        <v>0</v>
      </c>
      <c r="F2580" s="1919">
        <v>116540</v>
      </c>
      <c r="G2580" s="1918">
        <v>0</v>
      </c>
      <c r="H2580" s="1914">
        <f t="shared" si="191"/>
        <v>0</v>
      </c>
      <c r="J2580" s="1702"/>
    </row>
    <row r="2581" spans="1:10" s="1906" customFormat="1" ht="27" hidden="1" customHeight="1">
      <c r="A2581" s="1923"/>
      <c r="B2581" s="1981"/>
      <c r="C2581" s="2042" t="s">
        <v>1055</v>
      </c>
      <c r="D2581" s="2041" t="s">
        <v>1054</v>
      </c>
      <c r="E2581" s="1919">
        <v>0</v>
      </c>
      <c r="F2581" s="1919"/>
      <c r="G2581" s="1918"/>
      <c r="H2581" s="1914" t="e">
        <f t="shared" si="191"/>
        <v>#DIV/0!</v>
      </c>
      <c r="J2581" s="1702"/>
    </row>
    <row r="2582" spans="1:10" s="1906" customFormat="1" ht="17.25" customHeight="1">
      <c r="A2582" s="1923"/>
      <c r="B2582" s="1981"/>
      <c r="C2582" s="1991"/>
      <c r="D2582" s="2040"/>
      <c r="E2582" s="1919"/>
      <c r="F2582" s="1919"/>
      <c r="G2582" s="1918"/>
      <c r="H2582" s="1914"/>
      <c r="J2582" s="1702"/>
    </row>
    <row r="2583" spans="1:10" s="1906" customFormat="1" ht="25.5" customHeight="1">
      <c r="A2583" s="1923"/>
      <c r="B2583" s="1981"/>
      <c r="C2583" s="4127" t="s">
        <v>1024</v>
      </c>
      <c r="D2583" s="4128"/>
      <c r="E2583" s="1961">
        <f>SUM(E2584:E2585)</f>
        <v>6201668</v>
      </c>
      <c r="F2583" s="1961">
        <f>SUM(F2584:F2585)</f>
        <v>9731714</v>
      </c>
      <c r="G2583" s="1960">
        <f>SUM(G2584:G2585)</f>
        <v>450000</v>
      </c>
      <c r="H2583" s="1959">
        <f t="shared" ref="H2583:H2591" si="192">G2583/F2583</f>
        <v>4.6240569749583682E-2</v>
      </c>
      <c r="J2583" s="1702"/>
    </row>
    <row r="2584" spans="1:10" s="1906" customFormat="1" ht="39" customHeight="1">
      <c r="A2584" s="1923"/>
      <c r="B2584" s="1981"/>
      <c r="C2584" s="2011" t="s">
        <v>594</v>
      </c>
      <c r="D2584" s="2039" t="s">
        <v>1018</v>
      </c>
      <c r="E2584" s="1987">
        <v>726200</v>
      </c>
      <c r="F2584" s="1919">
        <v>1694714</v>
      </c>
      <c r="G2584" s="2038">
        <v>100000</v>
      </c>
      <c r="H2584" s="1914">
        <f t="shared" si="192"/>
        <v>5.9007006491950856E-2</v>
      </c>
      <c r="J2584" s="1702"/>
    </row>
    <row r="2585" spans="1:10" s="1906" customFormat="1" ht="39" thickBot="1">
      <c r="A2585" s="1922"/>
      <c r="B2585" s="2006"/>
      <c r="C2585" s="2037" t="s">
        <v>1053</v>
      </c>
      <c r="D2585" s="2036" t="s">
        <v>1018</v>
      </c>
      <c r="E2585" s="2035">
        <v>5475468</v>
      </c>
      <c r="F2585" s="1916">
        <v>8037000</v>
      </c>
      <c r="G2585" s="2034">
        <v>350000</v>
      </c>
      <c r="H2585" s="1907">
        <f t="shared" si="192"/>
        <v>4.3548587781510516E-2</v>
      </c>
      <c r="J2585" s="1702"/>
    </row>
    <row r="2586" spans="1:10" s="1906" customFormat="1" ht="17.100000000000001" customHeight="1" thickBot="1">
      <c r="A2586" s="1923"/>
      <c r="B2586" s="1971" t="s">
        <v>1052</v>
      </c>
      <c r="C2586" s="1970"/>
      <c r="D2586" s="1969" t="s">
        <v>1051</v>
      </c>
      <c r="E2586" s="1968">
        <f>SUM(E2587,E2593)</f>
        <v>807544</v>
      </c>
      <c r="F2586" s="1968">
        <f>SUM(F2587,F2593)</f>
        <v>837544</v>
      </c>
      <c r="G2586" s="1967">
        <f>SUM(G2587,G2593)</f>
        <v>834514</v>
      </c>
      <c r="H2586" s="1966">
        <f t="shared" si="192"/>
        <v>0.99638227961754844</v>
      </c>
      <c r="J2586" s="1702"/>
    </row>
    <row r="2587" spans="1:10" s="1906" customFormat="1" ht="17.100000000000001" customHeight="1">
      <c r="A2587" s="1923"/>
      <c r="B2587" s="4129"/>
      <c r="C2587" s="4130" t="s">
        <v>944</v>
      </c>
      <c r="D2587" s="4130"/>
      <c r="E2587" s="1965">
        <f>SUM(E2588)</f>
        <v>757544</v>
      </c>
      <c r="F2587" s="1965">
        <f>SUM(F2588)</f>
        <v>787544</v>
      </c>
      <c r="G2587" s="1964">
        <f>SUM(G2588)</f>
        <v>754514</v>
      </c>
      <c r="H2587" s="1963">
        <f t="shared" si="192"/>
        <v>0.95805948620013615</v>
      </c>
      <c r="J2587" s="1702"/>
    </row>
    <row r="2588" spans="1:10" s="1906" customFormat="1" ht="17.100000000000001" customHeight="1">
      <c r="A2588" s="1923"/>
      <c r="B2588" s="4129"/>
      <c r="C2588" s="4120" t="s">
        <v>943</v>
      </c>
      <c r="D2588" s="4120"/>
      <c r="E2588" s="1919">
        <f>SUM(E2590:E2591)</f>
        <v>757544</v>
      </c>
      <c r="F2588" s="1919">
        <f>SUM(F2590:F2591)</f>
        <v>787544</v>
      </c>
      <c r="G2588" s="1918">
        <f>SUM(G2590:G2591)</f>
        <v>754514</v>
      </c>
      <c r="H2588" s="1914">
        <f t="shared" si="192"/>
        <v>0.95805948620013615</v>
      </c>
      <c r="J2588" s="1702"/>
    </row>
    <row r="2589" spans="1:10" s="1906" customFormat="1" ht="27" hidden="1" customHeight="1">
      <c r="A2589" s="1923"/>
      <c r="B2589" s="4129"/>
      <c r="C2589" s="1980" t="s">
        <v>91</v>
      </c>
      <c r="D2589" s="1979" t="s">
        <v>942</v>
      </c>
      <c r="E2589" s="1919">
        <v>0</v>
      </c>
      <c r="F2589" s="1919"/>
      <c r="G2589" s="1918"/>
      <c r="H2589" s="1914" t="e">
        <f t="shared" si="192"/>
        <v>#DIV/0!</v>
      </c>
      <c r="J2589" s="1702"/>
    </row>
    <row r="2590" spans="1:10" s="1906" customFormat="1" ht="17.100000000000001" customHeight="1">
      <c r="A2590" s="1923"/>
      <c r="B2590" s="4129"/>
      <c r="C2590" s="1942" t="s">
        <v>1041</v>
      </c>
      <c r="D2590" s="1939" t="s">
        <v>1040</v>
      </c>
      <c r="E2590" s="1919">
        <v>732312</v>
      </c>
      <c r="F2590" s="1919">
        <v>762312</v>
      </c>
      <c r="G2590" s="1918">
        <v>754514</v>
      </c>
      <c r="H2590" s="1914">
        <f t="shared" si="192"/>
        <v>0.98977059261824551</v>
      </c>
      <c r="J2590" s="1702"/>
    </row>
    <row r="2591" spans="1:10" s="1906" customFormat="1" ht="27" hidden="1" customHeight="1">
      <c r="A2591" s="1923"/>
      <c r="B2591" s="4129"/>
      <c r="C2591" s="1935" t="s">
        <v>1039</v>
      </c>
      <c r="D2591" s="1938" t="s">
        <v>1038</v>
      </c>
      <c r="E2591" s="1919">
        <v>25232</v>
      </c>
      <c r="F2591" s="1919">
        <v>25232</v>
      </c>
      <c r="G2591" s="1918">
        <v>0</v>
      </c>
      <c r="H2591" s="1914">
        <f t="shared" si="192"/>
        <v>0</v>
      </c>
      <c r="J2591" s="1702"/>
    </row>
    <row r="2592" spans="1:10" s="1906" customFormat="1" ht="14.25" customHeight="1">
      <c r="A2592" s="1923"/>
      <c r="B2592" s="2033"/>
      <c r="C2592" s="4146"/>
      <c r="D2592" s="4147"/>
      <c r="E2592" s="1919"/>
      <c r="F2592" s="1919"/>
      <c r="G2592" s="1918"/>
      <c r="H2592" s="1914"/>
      <c r="J2592" s="1702"/>
    </row>
    <row r="2593" spans="1:10" s="1906" customFormat="1" ht="16.5" customHeight="1">
      <c r="A2593" s="1923"/>
      <c r="B2593" s="1981"/>
      <c r="C2593" s="4148" t="s">
        <v>941</v>
      </c>
      <c r="D2593" s="4149"/>
      <c r="E2593" s="1965">
        <f t="shared" ref="E2593:G2594" si="193">SUM(E2594)</f>
        <v>50000</v>
      </c>
      <c r="F2593" s="1965">
        <f t="shared" si="193"/>
        <v>50000</v>
      </c>
      <c r="G2593" s="1964">
        <f t="shared" si="193"/>
        <v>80000</v>
      </c>
      <c r="H2593" s="1925">
        <f t="shared" ref="H2593:H2600" si="194">G2593/F2593</f>
        <v>1.6</v>
      </c>
      <c r="J2593" s="1702"/>
    </row>
    <row r="2594" spans="1:10" s="1906" customFormat="1" ht="16.5" customHeight="1">
      <c r="A2594" s="1923"/>
      <c r="B2594" s="1981"/>
      <c r="C2594" s="4144" t="s">
        <v>940</v>
      </c>
      <c r="D2594" s="4145"/>
      <c r="E2594" s="1919">
        <f t="shared" si="193"/>
        <v>50000</v>
      </c>
      <c r="F2594" s="1919">
        <f t="shared" si="193"/>
        <v>50000</v>
      </c>
      <c r="G2594" s="1918">
        <f t="shared" si="193"/>
        <v>80000</v>
      </c>
      <c r="H2594" s="1914">
        <f t="shared" si="194"/>
        <v>1.6</v>
      </c>
      <c r="J2594" s="1702"/>
    </row>
    <row r="2595" spans="1:10" s="1906" customFormat="1" ht="42.75" customHeight="1" thickBot="1">
      <c r="A2595" s="1923"/>
      <c r="B2595" s="2006"/>
      <c r="C2595" s="1911" t="s">
        <v>594</v>
      </c>
      <c r="D2595" s="2032" t="s">
        <v>1018</v>
      </c>
      <c r="E2595" s="1916">
        <v>50000</v>
      </c>
      <c r="F2595" s="1916">
        <v>50000</v>
      </c>
      <c r="G2595" s="1915">
        <v>80000</v>
      </c>
      <c r="H2595" s="1907">
        <f t="shared" si="194"/>
        <v>1.6</v>
      </c>
      <c r="J2595" s="1702"/>
    </row>
    <row r="2596" spans="1:10" s="1906" customFormat="1" ht="17.100000000000001" customHeight="1" thickBot="1">
      <c r="A2596" s="1922"/>
      <c r="B2596" s="2025" t="s">
        <v>1050</v>
      </c>
      <c r="C2596" s="2024"/>
      <c r="D2596" s="2023" t="s">
        <v>1049</v>
      </c>
      <c r="E2596" s="2031">
        <f>SUM(E2597,E2602)</f>
        <v>3111346</v>
      </c>
      <c r="F2596" s="2031">
        <f>SUM(F2597,F2602)</f>
        <v>4569190</v>
      </c>
      <c r="G2596" s="2030">
        <f>SUM(G2597,G2602)</f>
        <v>4952171</v>
      </c>
      <c r="H2596" s="2029">
        <f t="shared" si="194"/>
        <v>1.0838181384446697</v>
      </c>
      <c r="J2596" s="1702"/>
    </row>
    <row r="2597" spans="1:10" s="1906" customFormat="1" ht="17.100000000000001" customHeight="1">
      <c r="A2597" s="1923"/>
      <c r="B2597" s="4150"/>
      <c r="C2597" s="4152" t="s">
        <v>944</v>
      </c>
      <c r="D2597" s="4152"/>
      <c r="E2597" s="1965">
        <f>SUM(E2598)</f>
        <v>2036346</v>
      </c>
      <c r="F2597" s="1965">
        <f>SUM(F2598)</f>
        <v>2509190</v>
      </c>
      <c r="G2597" s="1964">
        <f>SUM(G2598)</f>
        <v>2595371</v>
      </c>
      <c r="H2597" s="1963">
        <f t="shared" si="194"/>
        <v>1.0343461435762138</v>
      </c>
      <c r="J2597" s="1702"/>
    </row>
    <row r="2598" spans="1:10" s="1906" customFormat="1" ht="17.100000000000001" customHeight="1">
      <c r="A2598" s="1923"/>
      <c r="B2598" s="4129"/>
      <c r="C2598" s="4120" t="s">
        <v>943</v>
      </c>
      <c r="D2598" s="4120"/>
      <c r="E2598" s="1919">
        <f>SUM(E2599:E2600)</f>
        <v>2036346</v>
      </c>
      <c r="F2598" s="1919">
        <f>SUM(F2599:F2600)</f>
        <v>2509190</v>
      </c>
      <c r="G2598" s="1918">
        <f>SUM(G2599:G2600)</f>
        <v>2595371</v>
      </c>
      <c r="H2598" s="1914">
        <f t="shared" si="194"/>
        <v>1.0343461435762138</v>
      </c>
      <c r="J2598" s="1702"/>
    </row>
    <row r="2599" spans="1:10" s="1906" customFormat="1" ht="17.100000000000001" customHeight="1">
      <c r="A2599" s="1923"/>
      <c r="B2599" s="4129"/>
      <c r="C2599" s="1942" t="s">
        <v>1041</v>
      </c>
      <c r="D2599" s="1939" t="s">
        <v>1040</v>
      </c>
      <c r="E2599" s="1919">
        <v>2001346</v>
      </c>
      <c r="F2599" s="1919">
        <v>2433346</v>
      </c>
      <c r="G2599" s="1918">
        <v>2540371</v>
      </c>
      <c r="H2599" s="1914">
        <f t="shared" si="194"/>
        <v>1.0439826477615597</v>
      </c>
      <c r="J2599" s="1702"/>
    </row>
    <row r="2600" spans="1:10" s="1906" customFormat="1" ht="29.25" customHeight="1">
      <c r="A2600" s="1923"/>
      <c r="B2600" s="4129"/>
      <c r="C2600" s="2028" t="s">
        <v>1039</v>
      </c>
      <c r="D2600" s="2027" t="s">
        <v>1038</v>
      </c>
      <c r="E2600" s="1919">
        <v>35000</v>
      </c>
      <c r="F2600" s="1919">
        <v>75844</v>
      </c>
      <c r="G2600" s="1918">
        <v>55000</v>
      </c>
      <c r="H2600" s="1914">
        <f t="shared" si="194"/>
        <v>0.7251727229576499</v>
      </c>
      <c r="J2600" s="1702"/>
    </row>
    <row r="2601" spans="1:10" s="1906" customFormat="1">
      <c r="A2601" s="1923"/>
      <c r="B2601" s="4129"/>
      <c r="C2601" s="1977"/>
      <c r="D2601" s="2026"/>
      <c r="E2601" s="1977"/>
      <c r="F2601" s="1919"/>
      <c r="G2601" s="1918"/>
      <c r="H2601" s="1914"/>
      <c r="J2601" s="1702"/>
    </row>
    <row r="2602" spans="1:10" s="1906" customFormat="1" ht="16.5" customHeight="1">
      <c r="A2602" s="1923"/>
      <c r="B2602" s="4129"/>
      <c r="C2602" s="4119" t="s">
        <v>941</v>
      </c>
      <c r="D2602" s="4119"/>
      <c r="E2602" s="1965">
        <f t="shared" ref="E2602:G2603" si="195">SUM(E2603)</f>
        <v>1075000</v>
      </c>
      <c r="F2602" s="1965">
        <f t="shared" si="195"/>
        <v>2060000</v>
      </c>
      <c r="G2602" s="1964">
        <f t="shared" si="195"/>
        <v>2356800</v>
      </c>
      <c r="H2602" s="1925">
        <f t="shared" ref="H2602:H2609" si="196">G2602/F2602</f>
        <v>1.1440776699029127</v>
      </c>
      <c r="J2602" s="1702"/>
    </row>
    <row r="2603" spans="1:10" s="1906" customFormat="1" ht="15.75" customHeight="1">
      <c r="A2603" s="1923"/>
      <c r="B2603" s="4129"/>
      <c r="C2603" s="4143" t="s">
        <v>940</v>
      </c>
      <c r="D2603" s="4144"/>
      <c r="E2603" s="1919">
        <f t="shared" si="195"/>
        <v>1075000</v>
      </c>
      <c r="F2603" s="1919">
        <f t="shared" si="195"/>
        <v>2060000</v>
      </c>
      <c r="G2603" s="1918">
        <f t="shared" si="195"/>
        <v>2356800</v>
      </c>
      <c r="H2603" s="1914">
        <f t="shared" si="196"/>
        <v>1.1440776699029127</v>
      </c>
      <c r="J2603" s="1702"/>
    </row>
    <row r="2604" spans="1:10" s="1906" customFormat="1" ht="44.25" customHeight="1" thickBot="1">
      <c r="A2604" s="1923"/>
      <c r="B2604" s="4151"/>
      <c r="C2604" s="2005" t="s">
        <v>594</v>
      </c>
      <c r="D2604" s="2004" t="s">
        <v>1018</v>
      </c>
      <c r="E2604" s="1916">
        <v>1075000</v>
      </c>
      <c r="F2604" s="1916">
        <v>2060000</v>
      </c>
      <c r="G2604" s="1915">
        <v>2356800</v>
      </c>
      <c r="H2604" s="1972">
        <f t="shared" si="196"/>
        <v>1.1440776699029127</v>
      </c>
      <c r="J2604" s="1702"/>
    </row>
    <row r="2605" spans="1:10" s="1906" customFormat="1" ht="17.100000000000001" customHeight="1" thickBot="1">
      <c r="A2605" s="1922"/>
      <c r="B2605" s="2025" t="s">
        <v>909</v>
      </c>
      <c r="C2605" s="2024"/>
      <c r="D2605" s="2023" t="s">
        <v>908</v>
      </c>
      <c r="E2605" s="1968">
        <f>SUM(E2606,E2617)</f>
        <v>10132618</v>
      </c>
      <c r="F2605" s="1968">
        <f>SUM(F2606,F2617)</f>
        <v>10995763</v>
      </c>
      <c r="G2605" s="1967">
        <f>SUM(G2606,G2617)</f>
        <v>10968570</v>
      </c>
      <c r="H2605" s="1966">
        <f t="shared" si="196"/>
        <v>0.99752695651952483</v>
      </c>
      <c r="J2605" s="1702"/>
    </row>
    <row r="2606" spans="1:10" s="1906" customFormat="1" ht="17.100000000000001" customHeight="1" thickBot="1">
      <c r="A2606" s="1922"/>
      <c r="B2606" s="2022"/>
      <c r="C2606" s="4135" t="s">
        <v>944</v>
      </c>
      <c r="D2606" s="4136"/>
      <c r="E2606" s="2008">
        <f>SUM(E2611)</f>
        <v>9897618</v>
      </c>
      <c r="F2606" s="2008">
        <f>SUM(F2607,F2611)</f>
        <v>10654763</v>
      </c>
      <c r="G2606" s="2007">
        <f>SUM(G2607,G2611)</f>
        <v>10896470</v>
      </c>
      <c r="H2606" s="1963">
        <f t="shared" si="196"/>
        <v>1.0226853473887687</v>
      </c>
      <c r="J2606" s="1702"/>
    </row>
    <row r="2607" spans="1:10" s="1702" customFormat="1" ht="17.100000000000001" hidden="1" customHeight="1">
      <c r="A2607" s="1756"/>
      <c r="B2607" s="2014"/>
      <c r="C2607" s="4137" t="s">
        <v>961</v>
      </c>
      <c r="D2607" s="4137"/>
      <c r="E2607" s="1809">
        <f>SUM(E2609:E2612)</f>
        <v>19685236</v>
      </c>
      <c r="F2607" s="1809">
        <f>SUM(F2609)</f>
        <v>11</v>
      </c>
      <c r="G2607" s="1808">
        <f>SUM(G2609)</f>
        <v>0</v>
      </c>
      <c r="H2607" s="2021">
        <f t="shared" si="196"/>
        <v>0</v>
      </c>
    </row>
    <row r="2608" spans="1:10" s="1702" customFormat="1" ht="17.100000000000001" hidden="1" customHeight="1">
      <c r="A2608" s="1756"/>
      <c r="B2608" s="2014"/>
      <c r="C2608" s="2020" t="s">
        <v>1048</v>
      </c>
      <c r="D2608" s="2019" t="s">
        <v>1047</v>
      </c>
      <c r="E2608" s="1850">
        <v>0</v>
      </c>
      <c r="F2608" s="1850"/>
      <c r="G2608" s="1849"/>
      <c r="H2608" s="1757" t="e">
        <f t="shared" si="196"/>
        <v>#DIV/0!</v>
      </c>
    </row>
    <row r="2609" spans="1:10" s="1702" customFormat="1" ht="54.75" hidden="1" customHeight="1">
      <c r="A2609" s="1756"/>
      <c r="B2609" s="2014"/>
      <c r="C2609" s="1759" t="s">
        <v>1046</v>
      </c>
      <c r="D2609" s="1758" t="s">
        <v>1045</v>
      </c>
      <c r="E2609" s="1850">
        <v>0</v>
      </c>
      <c r="F2609" s="1850">
        <v>11</v>
      </c>
      <c r="G2609" s="1849">
        <v>0</v>
      </c>
      <c r="H2609" s="1757">
        <f t="shared" si="196"/>
        <v>0</v>
      </c>
    </row>
    <row r="2610" spans="1:10" s="1702" customFormat="1" ht="15.75" hidden="1" customHeight="1" thickBot="1">
      <c r="A2610" s="1756"/>
      <c r="B2610" s="2014"/>
      <c r="C2610" s="2018"/>
      <c r="D2610" s="1855"/>
      <c r="E2610" s="1745"/>
      <c r="F2610" s="1745"/>
      <c r="G2610" s="1744"/>
      <c r="H2610" s="2017"/>
    </row>
    <row r="2611" spans="1:10" s="1906" customFormat="1" ht="17.100000000000001" customHeight="1">
      <c r="A2611" s="1922"/>
      <c r="B2611" s="2014"/>
      <c r="C2611" s="4138" t="s">
        <v>943</v>
      </c>
      <c r="D2611" s="4139"/>
      <c r="E2611" s="2016">
        <f>SUM(E2612:E2614)</f>
        <v>9897618</v>
      </c>
      <c r="F2611" s="2016">
        <f>SUM(F2612:F2615)</f>
        <v>10654752</v>
      </c>
      <c r="G2611" s="2015">
        <f>SUM(G2612:G2615)</f>
        <v>10896470</v>
      </c>
      <c r="H2611" s="1950">
        <f>G2611/F2611</f>
        <v>1.0226864032123881</v>
      </c>
      <c r="J2611" s="1702"/>
    </row>
    <row r="2612" spans="1:10" s="1906" customFormat="1" ht="17.100000000000001" customHeight="1">
      <c r="A2612" s="1923"/>
      <c r="B2612" s="2014"/>
      <c r="C2612" s="1942" t="s">
        <v>1041</v>
      </c>
      <c r="D2612" s="1939" t="s">
        <v>1040</v>
      </c>
      <c r="E2612" s="1919">
        <v>9787618</v>
      </c>
      <c r="F2612" s="1919">
        <v>10351113</v>
      </c>
      <c r="G2612" s="1918">
        <v>10781470</v>
      </c>
      <c r="H2612" s="1914">
        <f>G2612/F2612</f>
        <v>1.0415759155561339</v>
      </c>
      <c r="J2612" s="1702"/>
    </row>
    <row r="2613" spans="1:10" s="1906" customFormat="1" ht="44.25" hidden="1" customHeight="1">
      <c r="A2613" s="1922"/>
      <c r="B2613" s="2014"/>
      <c r="C2613" s="1935" t="s">
        <v>91</v>
      </c>
      <c r="D2613" s="1938" t="s">
        <v>942</v>
      </c>
      <c r="E2613" s="1919">
        <v>0</v>
      </c>
      <c r="F2613" s="1919">
        <v>9792</v>
      </c>
      <c r="G2613" s="1918">
        <v>0</v>
      </c>
      <c r="H2613" s="1914">
        <f>G2613/F2613</f>
        <v>0</v>
      </c>
      <c r="J2613" s="1702"/>
    </row>
    <row r="2614" spans="1:10" s="1906" customFormat="1" ht="30" customHeight="1">
      <c r="A2614" s="1923"/>
      <c r="B2614" s="2014"/>
      <c r="C2614" s="2013" t="s">
        <v>1039</v>
      </c>
      <c r="D2614" s="2012" t="s">
        <v>1038</v>
      </c>
      <c r="E2614" s="1930">
        <v>110000</v>
      </c>
      <c r="F2614" s="1930">
        <v>293800</v>
      </c>
      <c r="G2614" s="1929">
        <v>115000</v>
      </c>
      <c r="H2614" s="1928">
        <f>G2614/F2614</f>
        <v>0.39142273655547993</v>
      </c>
      <c r="J2614" s="1702"/>
    </row>
    <row r="2615" spans="1:10" s="1906" customFormat="1" ht="58.5" hidden="1" customHeight="1">
      <c r="A2615" s="1923"/>
      <c r="B2615" s="1981"/>
      <c r="C2615" s="2011" t="s">
        <v>47</v>
      </c>
      <c r="D2615" s="2010" t="s">
        <v>1044</v>
      </c>
      <c r="E2615" s="1919"/>
      <c r="F2615" s="1919">
        <v>47</v>
      </c>
      <c r="G2615" s="1918">
        <v>0</v>
      </c>
      <c r="H2615" s="1914">
        <f>G2615/F2615</f>
        <v>0</v>
      </c>
      <c r="J2615" s="1702"/>
    </row>
    <row r="2616" spans="1:10" s="1906" customFormat="1" ht="16.5" customHeight="1" thickBot="1">
      <c r="A2616" s="1913"/>
      <c r="B2616" s="2006"/>
      <c r="C2616" s="4140"/>
      <c r="D2616" s="4141"/>
      <c r="E2616" s="1916"/>
      <c r="F2616" s="1916"/>
      <c r="G2616" s="1915"/>
      <c r="H2616" s="1914"/>
      <c r="J2616" s="1702"/>
    </row>
    <row r="2617" spans="1:10" s="1906" customFormat="1" ht="16.5" customHeight="1">
      <c r="A2617" s="1954"/>
      <c r="B2617" s="2009"/>
      <c r="C2617" s="4142" t="s">
        <v>941</v>
      </c>
      <c r="D2617" s="4142"/>
      <c r="E2617" s="2008">
        <f t="shared" ref="E2617:G2618" si="197">SUM(E2618)</f>
        <v>235000</v>
      </c>
      <c r="F2617" s="2008">
        <f t="shared" si="197"/>
        <v>341000</v>
      </c>
      <c r="G2617" s="2007">
        <f t="shared" si="197"/>
        <v>72100</v>
      </c>
      <c r="H2617" s="1925">
        <f t="shared" ref="H2617:H2626" si="198">G2617/F2617</f>
        <v>0.21143695014662756</v>
      </c>
      <c r="J2617" s="1702"/>
    </row>
    <row r="2618" spans="1:10" s="1906" customFormat="1" ht="16.5" customHeight="1">
      <c r="A2618" s="1923"/>
      <c r="B2618" s="1981"/>
      <c r="C2618" s="4143" t="s">
        <v>940</v>
      </c>
      <c r="D2618" s="4144"/>
      <c r="E2618" s="1919">
        <f t="shared" si="197"/>
        <v>235000</v>
      </c>
      <c r="F2618" s="1919">
        <f t="shared" si="197"/>
        <v>341000</v>
      </c>
      <c r="G2618" s="1918">
        <f t="shared" si="197"/>
        <v>72100</v>
      </c>
      <c r="H2618" s="1914">
        <f t="shared" si="198"/>
        <v>0.21143695014662756</v>
      </c>
      <c r="J2618" s="1702"/>
    </row>
    <row r="2619" spans="1:10" s="1906" customFormat="1" ht="42" customHeight="1" thickBot="1">
      <c r="A2619" s="1922"/>
      <c r="B2619" s="2006"/>
      <c r="C2619" s="2005" t="s">
        <v>594</v>
      </c>
      <c r="D2619" s="2004" t="s">
        <v>1018</v>
      </c>
      <c r="E2619" s="1916">
        <v>235000</v>
      </c>
      <c r="F2619" s="1916">
        <v>341000</v>
      </c>
      <c r="G2619" s="1915">
        <v>72100</v>
      </c>
      <c r="H2619" s="1907">
        <f t="shared" si="198"/>
        <v>0.21143695014662756</v>
      </c>
      <c r="J2619" s="1702"/>
    </row>
    <row r="2620" spans="1:10" ht="42.75" hidden="1" customHeight="1">
      <c r="A2620" s="1836"/>
      <c r="B2620" s="2003"/>
      <c r="C2620" s="2002" t="s">
        <v>939</v>
      </c>
      <c r="D2620" s="2001" t="s">
        <v>938</v>
      </c>
      <c r="E2620" s="2000">
        <v>0</v>
      </c>
      <c r="F2620" s="2000"/>
      <c r="G2620" s="1999"/>
      <c r="H2620" s="1998" t="e">
        <f t="shared" si="198"/>
        <v>#DIV/0!</v>
      </c>
    </row>
    <row r="2621" spans="1:10" s="1906" customFormat="1" ht="19.5" customHeight="1" thickBot="1">
      <c r="A2621" s="1922"/>
      <c r="B2621" s="1971" t="s">
        <v>1043</v>
      </c>
      <c r="C2621" s="1970"/>
      <c r="D2621" s="1969" t="s">
        <v>1042</v>
      </c>
      <c r="E2621" s="1968">
        <f>SUM(E2622,E2628)</f>
        <v>36193012</v>
      </c>
      <c r="F2621" s="1968">
        <f>SUM(F2622,F2628)</f>
        <v>39573971</v>
      </c>
      <c r="G2621" s="1967">
        <f>SUM(G2622,G2628)</f>
        <v>42144501</v>
      </c>
      <c r="H2621" s="1966">
        <f t="shared" si="198"/>
        <v>1.0649550685727243</v>
      </c>
      <c r="J2621" s="1702"/>
    </row>
    <row r="2622" spans="1:10" s="1906" customFormat="1" ht="17.100000000000001" customHeight="1">
      <c r="A2622" s="1923"/>
      <c r="B2622" s="4129"/>
      <c r="C2622" s="4130" t="s">
        <v>944</v>
      </c>
      <c r="D2622" s="4130"/>
      <c r="E2622" s="1965">
        <f>SUM(E2623)</f>
        <v>30678967</v>
      </c>
      <c r="F2622" s="1965">
        <f>SUM(F2623)</f>
        <v>33205309</v>
      </c>
      <c r="G2622" s="1964">
        <f>SUM(G2623)</f>
        <v>36815746</v>
      </c>
      <c r="H2622" s="1963">
        <f t="shared" si="198"/>
        <v>1.1087307153202519</v>
      </c>
      <c r="J2622" s="1702"/>
    </row>
    <row r="2623" spans="1:10" s="1906" customFormat="1" ht="17.100000000000001" customHeight="1">
      <c r="A2623" s="1923"/>
      <c r="B2623" s="4129"/>
      <c r="C2623" s="4120" t="s">
        <v>943</v>
      </c>
      <c r="D2623" s="4120"/>
      <c r="E2623" s="1919">
        <f>SUM(E2624:E2626)</f>
        <v>30678967</v>
      </c>
      <c r="F2623" s="1919">
        <f>SUM(F2624:F2626)</f>
        <v>33205309</v>
      </c>
      <c r="G2623" s="1918">
        <f>SUM(G2624:G2626)</f>
        <v>36815746</v>
      </c>
      <c r="H2623" s="1914">
        <f t="shared" si="198"/>
        <v>1.1087307153202519</v>
      </c>
      <c r="J2623" s="1702"/>
    </row>
    <row r="2624" spans="1:10" s="1906" customFormat="1" ht="17.100000000000001" customHeight="1">
      <c r="A2624" s="1923"/>
      <c r="B2624" s="4129"/>
      <c r="C2624" s="1942" t="s">
        <v>1041</v>
      </c>
      <c r="D2624" s="1939" t="s">
        <v>1040</v>
      </c>
      <c r="E2624" s="1919">
        <v>30150806</v>
      </c>
      <c r="F2624" s="1919">
        <v>31875036</v>
      </c>
      <c r="G2624" s="1918">
        <v>36166336</v>
      </c>
      <c r="H2624" s="1914">
        <f t="shared" si="198"/>
        <v>1.1346288675564162</v>
      </c>
      <c r="J2624" s="1702"/>
    </row>
    <row r="2625" spans="1:10" s="1906" customFormat="1" ht="43.5" hidden="1" customHeight="1">
      <c r="A2625" s="1923"/>
      <c r="B2625" s="1981"/>
      <c r="C2625" s="1942" t="s">
        <v>91</v>
      </c>
      <c r="D2625" s="1939" t="s">
        <v>942</v>
      </c>
      <c r="E2625" s="1919">
        <v>0</v>
      </c>
      <c r="F2625" s="1919">
        <v>100000</v>
      </c>
      <c r="G2625" s="1918">
        <v>0</v>
      </c>
      <c r="H2625" s="1914">
        <f t="shared" si="198"/>
        <v>0</v>
      </c>
      <c r="J2625" s="1702"/>
    </row>
    <row r="2626" spans="1:10" s="1906" customFormat="1" ht="29.25" customHeight="1">
      <c r="A2626" s="1922"/>
      <c r="B2626" s="1922"/>
      <c r="C2626" s="1997" t="s">
        <v>1039</v>
      </c>
      <c r="D2626" s="1938" t="s">
        <v>1038</v>
      </c>
      <c r="E2626" s="1919">
        <v>528161</v>
      </c>
      <c r="F2626" s="1919">
        <v>1230273</v>
      </c>
      <c r="G2626" s="1918">
        <v>649410</v>
      </c>
      <c r="H2626" s="1914">
        <f t="shared" si="198"/>
        <v>0.52785845092918404</v>
      </c>
      <c r="J2626" s="1702"/>
    </row>
    <row r="2627" spans="1:10" s="1906" customFormat="1" ht="12" customHeight="1">
      <c r="A2627" s="1923"/>
      <c r="B2627" s="1922"/>
      <c r="C2627" s="1996"/>
      <c r="D2627" s="1996"/>
      <c r="E2627" s="1995"/>
      <c r="F2627" s="1930"/>
      <c r="G2627" s="1929"/>
      <c r="H2627" s="1928"/>
      <c r="J2627" s="1702"/>
    </row>
    <row r="2628" spans="1:10" s="1906" customFormat="1" ht="17.100000000000001" customHeight="1">
      <c r="A2628" s="1923"/>
      <c r="B2628" s="1922"/>
      <c r="C2628" s="4106" t="s">
        <v>941</v>
      </c>
      <c r="D2628" s="4106"/>
      <c r="E2628" s="1927">
        <f>SUM(E2629)</f>
        <v>5514045</v>
      </c>
      <c r="F2628" s="1927">
        <f>SUM(F2629)</f>
        <v>6368662</v>
      </c>
      <c r="G2628" s="1926">
        <f>SUM(G2629)</f>
        <v>5328755</v>
      </c>
      <c r="H2628" s="1925">
        <f>G2628/F2628</f>
        <v>0.83671499602271249</v>
      </c>
      <c r="J2628" s="1702"/>
    </row>
    <row r="2629" spans="1:10" s="1906" customFormat="1" ht="17.100000000000001" customHeight="1">
      <c r="A2629" s="1923"/>
      <c r="B2629" s="1922"/>
      <c r="C2629" s="4125" t="s">
        <v>940</v>
      </c>
      <c r="D2629" s="4126"/>
      <c r="E2629" s="1919">
        <f>SUM(E2630:E2631)</f>
        <v>5514045</v>
      </c>
      <c r="F2629" s="1919">
        <f>SUM(F2630:F2631)</f>
        <v>6368662</v>
      </c>
      <c r="G2629" s="1918">
        <f>SUM(G2630:G2631)</f>
        <v>5328755</v>
      </c>
      <c r="H2629" s="1914">
        <f>G2629/F2629</f>
        <v>0.83671499602271249</v>
      </c>
      <c r="J2629" s="1702"/>
    </row>
    <row r="2630" spans="1:10" s="1906" customFormat="1" ht="72.75" hidden="1" customHeight="1">
      <c r="A2630" s="1923"/>
      <c r="B2630" s="1922"/>
      <c r="C2630" s="1994" t="s">
        <v>540</v>
      </c>
      <c r="D2630" s="1993" t="s">
        <v>1037</v>
      </c>
      <c r="E2630" s="1919">
        <v>0</v>
      </c>
      <c r="F2630" s="1919">
        <v>73517</v>
      </c>
      <c r="G2630" s="1918">
        <v>0</v>
      </c>
      <c r="H2630" s="1914">
        <f>G2630/F2630</f>
        <v>0</v>
      </c>
      <c r="J2630" s="1702"/>
    </row>
    <row r="2631" spans="1:10" s="1906" customFormat="1" ht="43.5" customHeight="1" thickBot="1">
      <c r="A2631" s="1923"/>
      <c r="B2631" s="1922"/>
      <c r="C2631" s="1935" t="s">
        <v>594</v>
      </c>
      <c r="D2631" s="1992" t="s">
        <v>1018</v>
      </c>
      <c r="E2631" s="1919">
        <v>5514045</v>
      </c>
      <c r="F2631" s="1919">
        <v>6295145</v>
      </c>
      <c r="G2631" s="1918">
        <v>5328755</v>
      </c>
      <c r="H2631" s="1914">
        <f>G2631/F2631</f>
        <v>0.8464864590092841</v>
      </c>
      <c r="J2631" s="1702"/>
    </row>
    <row r="2632" spans="1:10" s="1906" customFormat="1" ht="51.75" hidden="1" thickBot="1">
      <c r="A2632" s="1923"/>
      <c r="B2632" s="1922"/>
      <c r="C2632" s="1974" t="s">
        <v>186</v>
      </c>
      <c r="D2632" s="1973" t="s">
        <v>1026</v>
      </c>
      <c r="E2632" s="1919">
        <v>0</v>
      </c>
      <c r="F2632" s="1919"/>
      <c r="G2632" s="1918"/>
      <c r="H2632" s="1914" t="e">
        <f>G2632/F2632</f>
        <v>#DIV/0!</v>
      </c>
      <c r="J2632" s="1702"/>
    </row>
    <row r="2633" spans="1:10" s="1906" customFormat="1" ht="13.5" hidden="1" thickBot="1">
      <c r="A2633" s="1923"/>
      <c r="B2633" s="1981"/>
      <c r="C2633" s="1991"/>
      <c r="D2633" s="1990"/>
      <c r="E2633" s="1919"/>
      <c r="F2633" s="1919"/>
      <c r="G2633" s="1918"/>
      <c r="H2633" s="1914"/>
      <c r="J2633" s="1702"/>
    </row>
    <row r="2634" spans="1:10" s="1906" customFormat="1" ht="13.5" hidden="1" thickBot="1">
      <c r="A2634" s="1923"/>
      <c r="B2634" s="1981"/>
      <c r="C2634" s="4127" t="s">
        <v>1024</v>
      </c>
      <c r="D2634" s="4128"/>
      <c r="E2634" s="1961">
        <f>SUM(E2635)</f>
        <v>0</v>
      </c>
      <c r="F2634" s="1961">
        <f>SUM(F2635)</f>
        <v>0</v>
      </c>
      <c r="G2634" s="1960">
        <f>SUM(G2635)</f>
        <v>0</v>
      </c>
      <c r="H2634" s="1959" t="e">
        <f t="shared" ref="H2634:H2648" si="199">G2634/F2634</f>
        <v>#DIV/0!</v>
      </c>
      <c r="J2634" s="1702"/>
    </row>
    <row r="2635" spans="1:10" s="1906" customFormat="1" ht="64.5" hidden="1" thickBot="1">
      <c r="A2635" s="1923"/>
      <c r="B2635" s="1981"/>
      <c r="C2635" s="1989" t="s">
        <v>540</v>
      </c>
      <c r="D2635" s="1988" t="s">
        <v>1037</v>
      </c>
      <c r="E2635" s="1987">
        <v>0</v>
      </c>
      <c r="F2635" s="1919"/>
      <c r="G2635" s="1986"/>
      <c r="H2635" s="1972" t="e">
        <f t="shared" si="199"/>
        <v>#DIV/0!</v>
      </c>
      <c r="J2635" s="1702"/>
    </row>
    <row r="2636" spans="1:10" s="1906" customFormat="1" ht="17.100000000000001" customHeight="1" thickBot="1">
      <c r="A2636" s="1923"/>
      <c r="B2636" s="1971" t="s">
        <v>810</v>
      </c>
      <c r="C2636" s="1985"/>
      <c r="D2636" s="1969" t="s">
        <v>1036</v>
      </c>
      <c r="E2636" s="1968">
        <f>SUM(E2637,E2650)</f>
        <v>4000000</v>
      </c>
      <c r="F2636" s="1968">
        <f>SUM(F2637,F2650)</f>
        <v>4950207</v>
      </c>
      <c r="G2636" s="1967">
        <f>SUM(G2637,G2650)</f>
        <v>4400000</v>
      </c>
      <c r="H2636" s="1966">
        <f t="shared" si="199"/>
        <v>0.8888517187261058</v>
      </c>
      <c r="J2636" s="1702"/>
    </row>
    <row r="2637" spans="1:10" s="1906" customFormat="1" ht="17.100000000000001" customHeight="1">
      <c r="A2637" s="1923"/>
      <c r="B2637" s="4129"/>
      <c r="C2637" s="4130" t="s">
        <v>944</v>
      </c>
      <c r="D2637" s="4130"/>
      <c r="E2637" s="1965">
        <f>SUM(E2642)</f>
        <v>4000000</v>
      </c>
      <c r="F2637" s="1965">
        <f>SUM(F2642)</f>
        <v>4917000</v>
      </c>
      <c r="G2637" s="1964">
        <f>SUM(G2642)</f>
        <v>4400000</v>
      </c>
      <c r="H2637" s="1963">
        <f t="shared" si="199"/>
        <v>0.89485458612975388</v>
      </c>
      <c r="J2637" s="1702"/>
    </row>
    <row r="2638" spans="1:10" s="1906" customFormat="1" ht="17.100000000000001" hidden="1" customHeight="1">
      <c r="A2638" s="1923"/>
      <c r="B2638" s="4129"/>
      <c r="C2638" s="4131" t="s">
        <v>967</v>
      </c>
      <c r="D2638" s="4131"/>
      <c r="E2638" s="1919">
        <f>SUM(E2639:E2641)</f>
        <v>0</v>
      </c>
      <c r="F2638" s="1919">
        <f>SUM(F2639:F2641)</f>
        <v>0</v>
      </c>
      <c r="G2638" s="1918">
        <f>SUM(G2639:G2641)</f>
        <v>0</v>
      </c>
      <c r="H2638" s="1914" t="e">
        <f t="shared" si="199"/>
        <v>#DIV/0!</v>
      </c>
      <c r="J2638" s="1702"/>
    </row>
    <row r="2639" spans="1:10" s="1906" customFormat="1" ht="17.100000000000001" hidden="1" customHeight="1">
      <c r="A2639" s="1923"/>
      <c r="B2639" s="4129"/>
      <c r="C2639" s="4132" t="s">
        <v>961</v>
      </c>
      <c r="D2639" s="4132"/>
      <c r="E2639" s="1930">
        <v>0</v>
      </c>
      <c r="F2639" s="1930">
        <v>0</v>
      </c>
      <c r="G2639" s="1929">
        <v>0</v>
      </c>
      <c r="H2639" s="1914" t="e">
        <f t="shared" si="199"/>
        <v>#DIV/0!</v>
      </c>
      <c r="J2639" s="1702"/>
    </row>
    <row r="2640" spans="1:10" s="1906" customFormat="1" ht="30" hidden="1" customHeight="1">
      <c r="A2640" s="1923"/>
      <c r="B2640" s="4129"/>
      <c r="C2640" s="1984" t="s">
        <v>1035</v>
      </c>
      <c r="D2640" s="1962" t="s">
        <v>1034</v>
      </c>
      <c r="E2640" s="1930">
        <v>0</v>
      </c>
      <c r="F2640" s="1930">
        <v>0</v>
      </c>
      <c r="G2640" s="1929">
        <v>0</v>
      </c>
      <c r="H2640" s="1914" t="e">
        <f t="shared" si="199"/>
        <v>#DIV/0!</v>
      </c>
      <c r="J2640" s="1702"/>
    </row>
    <row r="2641" spans="1:10" s="1906" customFormat="1" ht="17.100000000000001" hidden="1" customHeight="1">
      <c r="A2641" s="1923"/>
      <c r="B2641" s="4129"/>
      <c r="C2641" s="1983"/>
      <c r="D2641" s="1982"/>
      <c r="E2641" s="1965"/>
      <c r="F2641" s="1965"/>
      <c r="G2641" s="1964"/>
      <c r="H2641" s="1914" t="e">
        <f t="shared" si="199"/>
        <v>#DIV/0!</v>
      </c>
      <c r="J2641" s="1702"/>
    </row>
    <row r="2642" spans="1:10" s="1906" customFormat="1" ht="17.100000000000001" customHeight="1">
      <c r="A2642" s="1923"/>
      <c r="B2642" s="4129"/>
      <c r="C2642" s="4120" t="s">
        <v>943</v>
      </c>
      <c r="D2642" s="4120"/>
      <c r="E2642" s="1919">
        <f>SUM(E2643:E2645)</f>
        <v>4000000</v>
      </c>
      <c r="F2642" s="1919">
        <f>SUM(F2643:F2645)</f>
        <v>4917000</v>
      </c>
      <c r="G2642" s="1918">
        <f>SUM(G2643:G2645)</f>
        <v>4400000</v>
      </c>
      <c r="H2642" s="1914">
        <f t="shared" si="199"/>
        <v>0.89485458612975388</v>
      </c>
      <c r="J2642" s="1702"/>
    </row>
    <row r="2643" spans="1:10" s="1906" customFormat="1" ht="45" hidden="1" customHeight="1">
      <c r="A2643" s="1923"/>
      <c r="B2643" s="1981"/>
      <c r="C2643" s="1980" t="s">
        <v>91</v>
      </c>
      <c r="D2643" s="1979" t="s">
        <v>955</v>
      </c>
      <c r="E2643" s="1919">
        <v>0</v>
      </c>
      <c r="F2643" s="1919">
        <v>12000</v>
      </c>
      <c r="G2643" s="1918">
        <v>0</v>
      </c>
      <c r="H2643" s="1914">
        <f t="shared" si="199"/>
        <v>0</v>
      </c>
      <c r="J2643" s="1702"/>
    </row>
    <row r="2644" spans="1:10" s="1906" customFormat="1" ht="44.25" customHeight="1" thickBot="1">
      <c r="A2644" s="1923"/>
      <c r="B2644" s="1922"/>
      <c r="C2644" s="1942" t="s">
        <v>1033</v>
      </c>
      <c r="D2644" s="1939" t="s">
        <v>1032</v>
      </c>
      <c r="E2644" s="1919">
        <v>4000000</v>
      </c>
      <c r="F2644" s="1919">
        <v>4411000</v>
      </c>
      <c r="G2644" s="1918">
        <v>4400000</v>
      </c>
      <c r="H2644" s="1914">
        <f t="shared" si="199"/>
        <v>0.99750623441396513</v>
      </c>
      <c r="J2644" s="1702"/>
    </row>
    <row r="2645" spans="1:10" s="1906" customFormat="1" ht="57" hidden="1" customHeight="1">
      <c r="A2645" s="1923"/>
      <c r="B2645" s="1922"/>
      <c r="C2645" s="1974" t="s">
        <v>1031</v>
      </c>
      <c r="D2645" s="1973" t="s">
        <v>1030</v>
      </c>
      <c r="E2645" s="1919">
        <v>0</v>
      </c>
      <c r="F2645" s="1919">
        <v>494000</v>
      </c>
      <c r="G2645" s="1918">
        <v>0</v>
      </c>
      <c r="H2645" s="1914">
        <f t="shared" si="199"/>
        <v>0</v>
      </c>
      <c r="J2645" s="1702"/>
    </row>
    <row r="2646" spans="1:10" s="1906" customFormat="1" ht="17.25" hidden="1" customHeight="1">
      <c r="A2646" s="1923"/>
      <c r="B2646" s="1922"/>
      <c r="C2646" s="1977"/>
      <c r="D2646" s="1978"/>
      <c r="E2646" s="1977"/>
      <c r="F2646" s="1919"/>
      <c r="G2646" s="1918"/>
      <c r="H2646" s="1914" t="e">
        <f t="shared" si="199"/>
        <v>#DIV/0!</v>
      </c>
      <c r="J2646" s="1702"/>
    </row>
    <row r="2647" spans="1:10" s="1906" customFormat="1" ht="16.5" hidden="1" customHeight="1" thickBot="1">
      <c r="A2647" s="1923"/>
      <c r="B2647" s="1922"/>
      <c r="C2647" s="4133" t="s">
        <v>952</v>
      </c>
      <c r="D2647" s="4134"/>
      <c r="E2647" s="1919">
        <v>0</v>
      </c>
      <c r="F2647" s="1919"/>
      <c r="G2647" s="1918"/>
      <c r="H2647" s="1914" t="e">
        <f t="shared" si="199"/>
        <v>#DIV/0!</v>
      </c>
      <c r="J2647" s="1702"/>
    </row>
    <row r="2648" spans="1:10" s="1906" customFormat="1" ht="19.5" hidden="1" customHeight="1" thickBot="1">
      <c r="A2648" s="1923"/>
      <c r="B2648" s="1922"/>
      <c r="C2648" s="1976" t="s">
        <v>951</v>
      </c>
      <c r="D2648" s="1920" t="s">
        <v>950</v>
      </c>
      <c r="E2648" s="1975">
        <v>0</v>
      </c>
      <c r="F2648" s="1919"/>
      <c r="G2648" s="1918"/>
      <c r="H2648" s="1914" t="e">
        <f t="shared" si="199"/>
        <v>#DIV/0!</v>
      </c>
      <c r="J2648" s="1702"/>
    </row>
    <row r="2649" spans="1:10" s="1906" customFormat="1" ht="15.75" hidden="1" customHeight="1">
      <c r="A2649" s="1923"/>
      <c r="B2649" s="1922"/>
      <c r="C2649" s="4117"/>
      <c r="D2649" s="4118"/>
      <c r="E2649" s="1919"/>
      <c r="F2649" s="1919"/>
      <c r="G2649" s="1918"/>
      <c r="H2649" s="1914"/>
      <c r="J2649" s="1702"/>
    </row>
    <row r="2650" spans="1:10" s="1906" customFormat="1" ht="19.5" hidden="1" customHeight="1">
      <c r="A2650" s="1922"/>
      <c r="B2650" s="1922"/>
      <c r="C2650" s="4119" t="s">
        <v>941</v>
      </c>
      <c r="D2650" s="4119"/>
      <c r="E2650" s="1965">
        <f t="shared" ref="E2650:G2651" si="200">SUM(E2651)</f>
        <v>0</v>
      </c>
      <c r="F2650" s="1965">
        <f t="shared" si="200"/>
        <v>33207</v>
      </c>
      <c r="G2650" s="1964">
        <f t="shared" si="200"/>
        <v>0</v>
      </c>
      <c r="H2650" s="1963">
        <f t="shared" ref="H2650:H2659" si="201">G2650/F2650</f>
        <v>0</v>
      </c>
      <c r="J2650" s="1702"/>
    </row>
    <row r="2651" spans="1:10" s="1906" customFormat="1" ht="17.25" hidden="1" customHeight="1">
      <c r="A2651" s="1923"/>
      <c r="B2651" s="1922"/>
      <c r="C2651" s="4108" t="s">
        <v>940</v>
      </c>
      <c r="D2651" s="4108"/>
      <c r="E2651" s="1919">
        <f t="shared" si="200"/>
        <v>0</v>
      </c>
      <c r="F2651" s="1919">
        <f t="shared" si="200"/>
        <v>33207</v>
      </c>
      <c r="G2651" s="1918">
        <f t="shared" si="200"/>
        <v>0</v>
      </c>
      <c r="H2651" s="1914">
        <f t="shared" si="201"/>
        <v>0</v>
      </c>
      <c r="J2651" s="1702"/>
    </row>
    <row r="2652" spans="1:10" s="1906" customFormat="1" ht="54" hidden="1" customHeight="1" thickBot="1">
      <c r="A2652" s="1923"/>
      <c r="B2652" s="1922"/>
      <c r="C2652" s="1974" t="s">
        <v>186</v>
      </c>
      <c r="D2652" s="1973" t="s">
        <v>1026</v>
      </c>
      <c r="E2652" s="1916">
        <v>0</v>
      </c>
      <c r="F2652" s="1919">
        <v>33207</v>
      </c>
      <c r="G2652" s="1918">
        <v>0</v>
      </c>
      <c r="H2652" s="1972">
        <f t="shared" si="201"/>
        <v>0</v>
      </c>
      <c r="J2652" s="1702"/>
    </row>
    <row r="2653" spans="1:10" s="1906" customFormat="1" ht="17.100000000000001" customHeight="1" thickBot="1">
      <c r="A2653" s="1923"/>
      <c r="B2653" s="1971" t="s">
        <v>1029</v>
      </c>
      <c r="C2653" s="1970"/>
      <c r="D2653" s="1969" t="s">
        <v>50</v>
      </c>
      <c r="E2653" s="1968">
        <f>SUM(E2654,E2692)</f>
        <v>2672601</v>
      </c>
      <c r="F2653" s="1968">
        <f>SUM(F2654,F2692)</f>
        <v>2936011</v>
      </c>
      <c r="G2653" s="1967">
        <f>SUM(G2654,G2692)</f>
        <v>2586333</v>
      </c>
      <c r="H2653" s="1966">
        <f t="shared" si="201"/>
        <v>0.88090030997840263</v>
      </c>
      <c r="J2653" s="1702"/>
    </row>
    <row r="2654" spans="1:10" s="1906" customFormat="1" ht="17.100000000000001" customHeight="1">
      <c r="A2654" s="1923"/>
      <c r="B2654" s="1958"/>
      <c r="C2654" s="4119" t="s">
        <v>944</v>
      </c>
      <c r="D2654" s="4119"/>
      <c r="E2654" s="1965">
        <f>SUM(E2655,E2665,E2670)</f>
        <v>1186750</v>
      </c>
      <c r="F2654" s="1965">
        <f>SUM(F2655,F2665,F2670)</f>
        <v>1530256</v>
      </c>
      <c r="G2654" s="1964">
        <f>SUM(G2655,G2665,G2670)</f>
        <v>1702570</v>
      </c>
      <c r="H2654" s="1963">
        <f t="shared" si="201"/>
        <v>1.1126046883658682</v>
      </c>
      <c r="J2654" s="1702"/>
    </row>
    <row r="2655" spans="1:10" s="1906" customFormat="1" ht="17.100000000000001" customHeight="1">
      <c r="A2655" s="1923"/>
      <c r="B2655" s="1958"/>
      <c r="C2655" s="4120" t="s">
        <v>967</v>
      </c>
      <c r="D2655" s="4120"/>
      <c r="E2655" s="1919">
        <f>SUM(E2656,E2661)</f>
        <v>1091800</v>
      </c>
      <c r="F2655" s="1919">
        <f>SUM(F2656,F2661)</f>
        <v>1291800</v>
      </c>
      <c r="G2655" s="1918">
        <f>SUM(G2656,G2661)</f>
        <v>1702570</v>
      </c>
      <c r="H2655" s="1914">
        <f t="shared" si="201"/>
        <v>1.3179826598544666</v>
      </c>
      <c r="J2655" s="1702"/>
    </row>
    <row r="2656" spans="1:10" s="1906" customFormat="1" ht="17.100000000000001" customHeight="1">
      <c r="A2656" s="1923"/>
      <c r="B2656" s="1958"/>
      <c r="C2656" s="4121" t="s">
        <v>966</v>
      </c>
      <c r="D2656" s="4121"/>
      <c r="E2656" s="1961">
        <f>SUM(E2657:E2659)</f>
        <v>162300</v>
      </c>
      <c r="F2656" s="1961">
        <f>SUM(F2657:F2659)</f>
        <v>247300</v>
      </c>
      <c r="G2656" s="1960">
        <f>SUM(G2657:G2659)</f>
        <v>164550</v>
      </c>
      <c r="H2656" s="1959">
        <f t="shared" si="201"/>
        <v>0.66538617064294381</v>
      </c>
      <c r="J2656" s="1702"/>
    </row>
    <row r="2657" spans="1:10" s="1906" customFormat="1" ht="17.100000000000001" customHeight="1">
      <c r="A2657" s="1923"/>
      <c r="B2657" s="1958"/>
      <c r="C2657" s="1942" t="s">
        <v>965</v>
      </c>
      <c r="D2657" s="1939" t="s">
        <v>964</v>
      </c>
      <c r="E2657" s="1919">
        <v>11224</v>
      </c>
      <c r="F2657" s="1919">
        <v>15136</v>
      </c>
      <c r="G2657" s="1918">
        <v>11224</v>
      </c>
      <c r="H2657" s="1914">
        <f t="shared" si="201"/>
        <v>0.7415433403805497</v>
      </c>
      <c r="J2657" s="1702"/>
    </row>
    <row r="2658" spans="1:10" s="1906" customFormat="1" ht="16.5" customHeight="1">
      <c r="A2658" s="1923"/>
      <c r="B2658" s="1958"/>
      <c r="C2658" s="1942" t="s">
        <v>963</v>
      </c>
      <c r="D2658" s="1939" t="s">
        <v>962</v>
      </c>
      <c r="E2658" s="1919">
        <v>1149</v>
      </c>
      <c r="F2658" s="1919">
        <v>1227</v>
      </c>
      <c r="G2658" s="1918">
        <v>1149</v>
      </c>
      <c r="H2658" s="1914">
        <f t="shared" si="201"/>
        <v>0.9364303178484108</v>
      </c>
      <c r="J2658" s="1702"/>
    </row>
    <row r="2659" spans="1:10" s="1906" customFormat="1" ht="17.100000000000001" customHeight="1">
      <c r="A2659" s="1922"/>
      <c r="B2659" s="1958"/>
      <c r="C2659" s="1935" t="s">
        <v>974</v>
      </c>
      <c r="D2659" s="1938" t="s">
        <v>973</v>
      </c>
      <c r="E2659" s="1919">
        <v>149927</v>
      </c>
      <c r="F2659" s="1919">
        <v>230937</v>
      </c>
      <c r="G2659" s="1918">
        <f>17250+134927</f>
        <v>152177</v>
      </c>
      <c r="H2659" s="1914">
        <f t="shared" si="201"/>
        <v>0.65895460666761929</v>
      </c>
      <c r="J2659" s="1702" t="s">
        <v>1028</v>
      </c>
    </row>
    <row r="2660" spans="1:10" s="1906" customFormat="1" ht="17.100000000000001" customHeight="1">
      <c r="A2660" s="1923"/>
      <c r="B2660" s="1958"/>
      <c r="C2660" s="1962"/>
      <c r="D2660" s="1962"/>
      <c r="E2660" s="1930"/>
      <c r="F2660" s="1930"/>
      <c r="G2660" s="1929"/>
      <c r="H2660" s="1928"/>
      <c r="J2660" s="1702"/>
    </row>
    <row r="2661" spans="1:10" s="1906" customFormat="1" ht="17.100000000000001" customHeight="1">
      <c r="A2661" s="1923"/>
      <c r="B2661" s="1958"/>
      <c r="C2661" s="4122" t="s">
        <v>961</v>
      </c>
      <c r="D2661" s="4122"/>
      <c r="E2661" s="1961">
        <f>SUM(E2662:E2663)</f>
        <v>929500</v>
      </c>
      <c r="F2661" s="1961">
        <f>SUM(F2662:F2663)</f>
        <v>1044500</v>
      </c>
      <c r="G2661" s="1960">
        <f>SUM(G2662:G2663)</f>
        <v>1538020</v>
      </c>
      <c r="H2661" s="1959">
        <f>G2661/F2661</f>
        <v>1.4724940162757301</v>
      </c>
      <c r="J2661" s="1702" t="s">
        <v>1028</v>
      </c>
    </row>
    <row r="2662" spans="1:10" s="1906" customFormat="1" ht="17.100000000000001" customHeight="1">
      <c r="A2662" s="1923"/>
      <c r="B2662" s="1958"/>
      <c r="C2662" s="1942" t="s">
        <v>613</v>
      </c>
      <c r="D2662" s="1939" t="s">
        <v>960</v>
      </c>
      <c r="E2662" s="1919">
        <v>19000</v>
      </c>
      <c r="F2662" s="1919">
        <v>25500</v>
      </c>
      <c r="G2662" s="1918">
        <f>12000+8050</f>
        <v>20050</v>
      </c>
      <c r="H2662" s="1914">
        <f>G2662/F2662</f>
        <v>0.78627450980392155</v>
      </c>
      <c r="J2662" s="1702"/>
    </row>
    <row r="2663" spans="1:10" s="1906" customFormat="1" ht="17.100000000000001" customHeight="1">
      <c r="A2663" s="1923"/>
      <c r="B2663" s="1958"/>
      <c r="C2663" s="1942" t="s">
        <v>959</v>
      </c>
      <c r="D2663" s="1939" t="s">
        <v>958</v>
      </c>
      <c r="E2663" s="1919">
        <v>910500</v>
      </c>
      <c r="F2663" s="1919">
        <v>1019000</v>
      </c>
      <c r="G2663" s="1918">
        <f>8000+1509970</f>
        <v>1517970</v>
      </c>
      <c r="H2663" s="1914">
        <f>G2663/F2663</f>
        <v>1.489666339548577</v>
      </c>
      <c r="J2663" s="1702"/>
    </row>
    <row r="2664" spans="1:10" s="1906" customFormat="1" ht="17.100000000000001" hidden="1" customHeight="1" thickBot="1">
      <c r="A2664" s="1913"/>
      <c r="B2664" s="1957"/>
      <c r="C2664" s="1956"/>
      <c r="D2664" s="1955"/>
      <c r="E2664" s="1916"/>
      <c r="F2664" s="1916"/>
      <c r="G2664" s="1915"/>
      <c r="H2664" s="1907"/>
      <c r="J2664" s="1702"/>
    </row>
    <row r="2665" spans="1:10" s="1906" customFormat="1" ht="17.100000000000001" hidden="1" customHeight="1">
      <c r="A2665" s="1954"/>
      <c r="B2665" s="1953"/>
      <c r="C2665" s="4123" t="s">
        <v>943</v>
      </c>
      <c r="D2665" s="4124"/>
      <c r="E2665" s="1952">
        <f>SUM(E2668)</f>
        <v>0</v>
      </c>
      <c r="F2665" s="1952">
        <f>SUM(F2667:F2668)</f>
        <v>140511</v>
      </c>
      <c r="G2665" s="1951">
        <f>SUM(G2667:G2668)</f>
        <v>0</v>
      </c>
      <c r="H2665" s="1950">
        <f>G2665/F2665</f>
        <v>0</v>
      </c>
      <c r="J2665" s="1702"/>
    </row>
    <row r="2666" spans="1:10" s="1906" customFormat="1" ht="40.5" hidden="1" customHeight="1">
      <c r="A2666" s="1923"/>
      <c r="B2666" s="1933"/>
      <c r="C2666" s="1949" t="s">
        <v>89</v>
      </c>
      <c r="D2666" s="1948" t="s">
        <v>1027</v>
      </c>
      <c r="E2666" s="1919">
        <v>0</v>
      </c>
      <c r="F2666" s="1919"/>
      <c r="G2666" s="1918"/>
      <c r="H2666" s="1914" t="e">
        <f>G2666/F2666</f>
        <v>#DIV/0!</v>
      </c>
      <c r="J2666" s="1702"/>
    </row>
    <row r="2667" spans="1:10" s="1906" customFormat="1" ht="56.25" hidden="1" customHeight="1">
      <c r="A2667" s="1923"/>
      <c r="B2667" s="1933"/>
      <c r="C2667" s="1942" t="s">
        <v>112</v>
      </c>
      <c r="D2667" s="1947" t="s">
        <v>956</v>
      </c>
      <c r="E2667" s="1919">
        <v>0</v>
      </c>
      <c r="F2667" s="1919">
        <v>16880</v>
      </c>
      <c r="G2667" s="1918">
        <v>0</v>
      </c>
      <c r="H2667" s="1944">
        <f>G2667/F2667</f>
        <v>0</v>
      </c>
      <c r="J2667" s="1702"/>
    </row>
    <row r="2668" spans="1:10" s="1906" customFormat="1" ht="45" hidden="1" customHeight="1">
      <c r="A2668" s="1923"/>
      <c r="B2668" s="1933"/>
      <c r="C2668" s="1942" t="s">
        <v>91</v>
      </c>
      <c r="D2668" s="1939" t="s">
        <v>942</v>
      </c>
      <c r="E2668" s="1919">
        <v>0</v>
      </c>
      <c r="F2668" s="1919">
        <v>123631</v>
      </c>
      <c r="G2668" s="1918">
        <v>0</v>
      </c>
      <c r="H2668" s="1944">
        <f>G2668/F2668</f>
        <v>0</v>
      </c>
      <c r="J2668" s="1702"/>
    </row>
    <row r="2669" spans="1:10" s="1906" customFormat="1" ht="17.100000000000001" hidden="1" customHeight="1">
      <c r="A2669" s="1923"/>
      <c r="B2669" s="1933"/>
      <c r="C2669" s="1946"/>
      <c r="D2669" s="1945"/>
      <c r="E2669" s="1919"/>
      <c r="F2669" s="1919"/>
      <c r="G2669" s="1918"/>
      <c r="H2669" s="1944"/>
      <c r="J2669" s="1702"/>
    </row>
    <row r="2670" spans="1:10" s="1906" customFormat="1" ht="17.100000000000001" hidden="1" customHeight="1">
      <c r="A2670" s="1923"/>
      <c r="B2670" s="1933"/>
      <c r="C2670" s="4120" t="s">
        <v>976</v>
      </c>
      <c r="D2670" s="4120"/>
      <c r="E2670" s="1919">
        <f>SUM(E2673:E2688)</f>
        <v>94950</v>
      </c>
      <c r="F2670" s="1919">
        <f>SUM(F2673:F2688)</f>
        <v>97945</v>
      </c>
      <c r="G2670" s="1918">
        <f>SUM(G2673:G2688)</f>
        <v>0</v>
      </c>
      <c r="H2670" s="1944">
        <f t="shared" ref="H2670:H2690" si="202">G2670/F2670</f>
        <v>0</v>
      </c>
      <c r="J2670" s="1702"/>
    </row>
    <row r="2671" spans="1:10" s="1906" customFormat="1" ht="17.100000000000001" hidden="1" customHeight="1">
      <c r="A2671" s="1923"/>
      <c r="B2671" s="1933"/>
      <c r="C2671" s="1942" t="s">
        <v>631</v>
      </c>
      <c r="D2671" s="1943" t="s">
        <v>977</v>
      </c>
      <c r="E2671" s="1919">
        <v>0</v>
      </c>
      <c r="F2671" s="1919"/>
      <c r="G2671" s="1918"/>
      <c r="H2671" s="1944" t="e">
        <f t="shared" si="202"/>
        <v>#DIV/0!</v>
      </c>
      <c r="J2671" s="1702"/>
    </row>
    <row r="2672" spans="1:10" s="1906" customFormat="1" ht="17.100000000000001" hidden="1" customHeight="1">
      <c r="A2672" s="1923"/>
      <c r="B2672" s="1933"/>
      <c r="C2672" s="1942" t="s">
        <v>630</v>
      </c>
      <c r="D2672" s="1943" t="s">
        <v>977</v>
      </c>
      <c r="E2672" s="1919">
        <v>0</v>
      </c>
      <c r="F2672" s="1919"/>
      <c r="G2672" s="1918"/>
      <c r="H2672" s="1914" t="e">
        <f t="shared" si="202"/>
        <v>#DIV/0!</v>
      </c>
      <c r="J2672" s="1702"/>
    </row>
    <row r="2673" spans="1:10" s="1906" customFormat="1" ht="17.100000000000001" hidden="1" customHeight="1">
      <c r="A2673" s="1923"/>
      <c r="B2673" s="1933"/>
      <c r="C2673" s="1942" t="s">
        <v>479</v>
      </c>
      <c r="D2673" s="1939" t="s">
        <v>1015</v>
      </c>
      <c r="E2673" s="1919">
        <v>50150</v>
      </c>
      <c r="F2673" s="1919">
        <v>52020</v>
      </c>
      <c r="G2673" s="1918">
        <v>0</v>
      </c>
      <c r="H2673" s="1914">
        <f t="shared" si="202"/>
        <v>0</v>
      </c>
      <c r="J2673" s="1702"/>
    </row>
    <row r="2674" spans="1:10" s="1906" customFormat="1" ht="17.100000000000001" hidden="1" customHeight="1">
      <c r="A2674" s="1923"/>
      <c r="B2674" s="1933"/>
      <c r="C2674" s="1942" t="s">
        <v>461</v>
      </c>
      <c r="D2674" s="1939" t="s">
        <v>1015</v>
      </c>
      <c r="E2674" s="1919">
        <v>8850</v>
      </c>
      <c r="F2674" s="1919">
        <v>9180</v>
      </c>
      <c r="G2674" s="1918">
        <v>0</v>
      </c>
      <c r="H2674" s="1914">
        <f t="shared" si="202"/>
        <v>0</v>
      </c>
      <c r="J2674" s="1702"/>
    </row>
    <row r="2675" spans="1:10" s="1906" customFormat="1" ht="17.100000000000001" hidden="1" customHeight="1">
      <c r="A2675" s="1923"/>
      <c r="B2675" s="1933"/>
      <c r="C2675" s="1942" t="s">
        <v>536</v>
      </c>
      <c r="D2675" s="1939" t="s">
        <v>1013</v>
      </c>
      <c r="E2675" s="1919">
        <v>0</v>
      </c>
      <c r="F2675" s="1919"/>
      <c r="G2675" s="1918"/>
      <c r="H2675" s="1914" t="e">
        <f t="shared" si="202"/>
        <v>#DIV/0!</v>
      </c>
      <c r="J2675" s="1702"/>
    </row>
    <row r="2676" spans="1:10" s="1906" customFormat="1" ht="17.100000000000001" hidden="1" customHeight="1">
      <c r="A2676" s="1923"/>
      <c r="B2676" s="1933"/>
      <c r="C2676" s="1942" t="s">
        <v>493</v>
      </c>
      <c r="D2676" s="1939" t="s">
        <v>1013</v>
      </c>
      <c r="E2676" s="1919">
        <v>0</v>
      </c>
      <c r="F2676" s="1919"/>
      <c r="G2676" s="1918"/>
      <c r="H2676" s="1914" t="e">
        <f t="shared" si="202"/>
        <v>#DIV/0!</v>
      </c>
      <c r="J2676" s="1702"/>
    </row>
    <row r="2677" spans="1:10" s="1906" customFormat="1" ht="17.100000000000001" hidden="1" customHeight="1">
      <c r="A2677" s="1923"/>
      <c r="B2677" s="1933"/>
      <c r="C2677" s="1942" t="s">
        <v>478</v>
      </c>
      <c r="D2677" s="1939" t="s">
        <v>964</v>
      </c>
      <c r="E2677" s="1919">
        <v>8092</v>
      </c>
      <c r="F2677" s="1919">
        <v>8549</v>
      </c>
      <c r="G2677" s="1918">
        <v>0</v>
      </c>
      <c r="H2677" s="1914">
        <f t="shared" si="202"/>
        <v>0</v>
      </c>
      <c r="J2677" s="1702"/>
    </row>
    <row r="2678" spans="1:10" s="1906" customFormat="1" ht="17.100000000000001" hidden="1" customHeight="1">
      <c r="A2678" s="1923"/>
      <c r="B2678" s="1933"/>
      <c r="C2678" s="1942" t="s">
        <v>459</v>
      </c>
      <c r="D2678" s="1939" t="s">
        <v>964</v>
      </c>
      <c r="E2678" s="1919">
        <v>1428</v>
      </c>
      <c r="F2678" s="1919">
        <v>1509</v>
      </c>
      <c r="G2678" s="1918">
        <v>0</v>
      </c>
      <c r="H2678" s="1914">
        <f t="shared" si="202"/>
        <v>0</v>
      </c>
      <c r="J2678" s="1702"/>
    </row>
    <row r="2679" spans="1:10" s="1906" customFormat="1" ht="16.5" hidden="1" customHeight="1">
      <c r="A2679" s="1923"/>
      <c r="B2679" s="1933"/>
      <c r="C2679" s="1942" t="s">
        <v>477</v>
      </c>
      <c r="D2679" s="1939" t="s">
        <v>962</v>
      </c>
      <c r="E2679" s="1919">
        <v>1190</v>
      </c>
      <c r="F2679" s="1919">
        <v>1208</v>
      </c>
      <c r="G2679" s="1918">
        <v>0</v>
      </c>
      <c r="H2679" s="1914">
        <f t="shared" si="202"/>
        <v>0</v>
      </c>
      <c r="J2679" s="1702"/>
    </row>
    <row r="2680" spans="1:10" s="1906" customFormat="1" ht="16.5" hidden="1" customHeight="1">
      <c r="A2680" s="1923"/>
      <c r="B2680" s="1933"/>
      <c r="C2680" s="1942" t="s">
        <v>457</v>
      </c>
      <c r="D2680" s="1939" t="s">
        <v>962</v>
      </c>
      <c r="E2680" s="1919">
        <v>210</v>
      </c>
      <c r="F2680" s="1919">
        <v>213</v>
      </c>
      <c r="G2680" s="1918">
        <v>0</v>
      </c>
      <c r="H2680" s="1914">
        <f t="shared" si="202"/>
        <v>0</v>
      </c>
      <c r="J2680" s="1702"/>
    </row>
    <row r="2681" spans="1:10" s="1906" customFormat="1" ht="17.100000000000001" hidden="1" customHeight="1">
      <c r="A2681" s="1923"/>
      <c r="B2681" s="1933"/>
      <c r="C2681" s="1942" t="s">
        <v>535</v>
      </c>
      <c r="D2681" s="1939" t="s">
        <v>973</v>
      </c>
      <c r="E2681" s="1919">
        <v>11628</v>
      </c>
      <c r="F2681" s="1919">
        <v>11628</v>
      </c>
      <c r="G2681" s="1918">
        <v>0</v>
      </c>
      <c r="H2681" s="1914">
        <f t="shared" si="202"/>
        <v>0</v>
      </c>
      <c r="J2681" s="1702"/>
    </row>
    <row r="2682" spans="1:10" s="1906" customFormat="1" ht="17.100000000000001" hidden="1" customHeight="1">
      <c r="A2682" s="1923"/>
      <c r="B2682" s="1933"/>
      <c r="C2682" s="1942" t="s">
        <v>455</v>
      </c>
      <c r="D2682" s="1939" t="s">
        <v>973</v>
      </c>
      <c r="E2682" s="1919">
        <v>2052</v>
      </c>
      <c r="F2682" s="1919">
        <v>2052</v>
      </c>
      <c r="G2682" s="1918">
        <v>0</v>
      </c>
      <c r="H2682" s="1914">
        <f t="shared" si="202"/>
        <v>0</v>
      </c>
      <c r="J2682" s="1702"/>
    </row>
    <row r="2683" spans="1:10" s="1906" customFormat="1" ht="17.100000000000001" hidden="1" customHeight="1">
      <c r="A2683" s="1923"/>
      <c r="B2683" s="1933"/>
      <c r="C2683" s="1942" t="s">
        <v>533</v>
      </c>
      <c r="D2683" s="1939" t="s">
        <v>960</v>
      </c>
      <c r="E2683" s="1919">
        <v>9066</v>
      </c>
      <c r="F2683" s="1919">
        <v>9267</v>
      </c>
      <c r="G2683" s="1918">
        <v>0</v>
      </c>
      <c r="H2683" s="1914">
        <f t="shared" si="202"/>
        <v>0</v>
      </c>
      <c r="J2683" s="1702"/>
    </row>
    <row r="2684" spans="1:10" s="1906" customFormat="1" ht="17.100000000000001" hidden="1" customHeight="1">
      <c r="A2684" s="1922"/>
      <c r="B2684" s="1933"/>
      <c r="C2684" s="1935" t="s">
        <v>449</v>
      </c>
      <c r="D2684" s="1938" t="s">
        <v>960</v>
      </c>
      <c r="E2684" s="1919">
        <v>1600</v>
      </c>
      <c r="F2684" s="1919">
        <v>1635</v>
      </c>
      <c r="G2684" s="1918">
        <v>0</v>
      </c>
      <c r="H2684" s="1914">
        <f t="shared" si="202"/>
        <v>0</v>
      </c>
      <c r="J2684" s="1702"/>
    </row>
    <row r="2685" spans="1:10" s="1906" customFormat="1" ht="17.100000000000001" hidden="1" customHeight="1">
      <c r="A2685" s="1923"/>
      <c r="B2685" s="1933"/>
      <c r="C2685" s="1941" t="s">
        <v>529</v>
      </c>
      <c r="D2685" s="1920" t="s">
        <v>958</v>
      </c>
      <c r="E2685" s="1930">
        <v>0</v>
      </c>
      <c r="F2685" s="1919"/>
      <c r="G2685" s="1918"/>
      <c r="H2685" s="1914" t="e">
        <f t="shared" si="202"/>
        <v>#DIV/0!</v>
      </c>
      <c r="J2685" s="1702"/>
    </row>
    <row r="2686" spans="1:10" s="1906" customFormat="1" ht="17.100000000000001" hidden="1" customHeight="1">
      <c r="A2686" s="1923"/>
      <c r="B2686" s="1933"/>
      <c r="C2686" s="1940" t="s">
        <v>445</v>
      </c>
      <c r="D2686" s="1939" t="s">
        <v>958</v>
      </c>
      <c r="E2686" s="1919">
        <v>0</v>
      </c>
      <c r="F2686" s="1919"/>
      <c r="G2686" s="1918"/>
      <c r="H2686" s="1914" t="e">
        <f t="shared" si="202"/>
        <v>#DIV/0!</v>
      </c>
      <c r="J2686" s="1702"/>
    </row>
    <row r="2687" spans="1:10" s="1906" customFormat="1" ht="17.100000000000001" hidden="1" customHeight="1">
      <c r="A2687" s="1923"/>
      <c r="B2687" s="1933"/>
      <c r="C2687" s="1940" t="s">
        <v>524</v>
      </c>
      <c r="D2687" s="1939" t="s">
        <v>991</v>
      </c>
      <c r="E2687" s="1919">
        <v>581</v>
      </c>
      <c r="F2687" s="1919">
        <v>581</v>
      </c>
      <c r="G2687" s="1918">
        <v>0</v>
      </c>
      <c r="H2687" s="1914">
        <f t="shared" si="202"/>
        <v>0</v>
      </c>
      <c r="J2687" s="1702"/>
    </row>
    <row r="2688" spans="1:10" s="1906" customFormat="1" ht="17.100000000000001" hidden="1" customHeight="1">
      <c r="A2688" s="1922"/>
      <c r="B2688" s="1933"/>
      <c r="C2688" s="1935" t="s">
        <v>466</v>
      </c>
      <c r="D2688" s="1938" t="s">
        <v>991</v>
      </c>
      <c r="E2688" s="1919">
        <v>103</v>
      </c>
      <c r="F2688" s="1919">
        <v>103</v>
      </c>
      <c r="G2688" s="1918">
        <v>0</v>
      </c>
      <c r="H2688" s="1914">
        <f t="shared" si="202"/>
        <v>0</v>
      </c>
      <c r="J2688" s="1702"/>
    </row>
    <row r="2689" spans="1:10" s="1906" customFormat="1" ht="17.100000000000001" hidden="1" customHeight="1">
      <c r="A2689" s="1923"/>
      <c r="B2689" s="1933"/>
      <c r="C2689" s="1937" t="s">
        <v>575</v>
      </c>
      <c r="D2689" s="1936" t="s">
        <v>989</v>
      </c>
      <c r="E2689" s="1919">
        <v>0</v>
      </c>
      <c r="F2689" s="1919"/>
      <c r="G2689" s="1918"/>
      <c r="H2689" s="1914" t="e">
        <f t="shared" si="202"/>
        <v>#DIV/0!</v>
      </c>
      <c r="J2689" s="1702"/>
    </row>
    <row r="2690" spans="1:10" s="1906" customFormat="1" ht="17.100000000000001" hidden="1" customHeight="1">
      <c r="A2690" s="1923"/>
      <c r="B2690" s="1933"/>
      <c r="C2690" s="1935" t="s">
        <v>574</v>
      </c>
      <c r="D2690" s="1934" t="s">
        <v>989</v>
      </c>
      <c r="E2690" s="1919">
        <v>0</v>
      </c>
      <c r="F2690" s="1919"/>
      <c r="G2690" s="1918"/>
      <c r="H2690" s="1914" t="e">
        <f t="shared" si="202"/>
        <v>#DIV/0!</v>
      </c>
      <c r="J2690" s="1702"/>
    </row>
    <row r="2691" spans="1:10" s="1906" customFormat="1" ht="14.25" customHeight="1">
      <c r="A2691" s="1922"/>
      <c r="B2691" s="1933"/>
      <c r="C2691" s="1932"/>
      <c r="D2691" s="1931"/>
      <c r="E2691" s="1930"/>
      <c r="F2691" s="1930"/>
      <c r="G2691" s="1929"/>
      <c r="H2691" s="1928"/>
      <c r="J2691" s="1702"/>
    </row>
    <row r="2692" spans="1:10" s="1906" customFormat="1" ht="17.100000000000001" customHeight="1">
      <c r="A2692" s="1923"/>
      <c r="B2692" s="1922"/>
      <c r="C2692" s="4106" t="s">
        <v>941</v>
      </c>
      <c r="D2692" s="4106"/>
      <c r="E2692" s="1927">
        <f>SUM(E2693)</f>
        <v>1485851</v>
      </c>
      <c r="F2692" s="1927">
        <f>SUM(F2693)</f>
        <v>1405755</v>
      </c>
      <c r="G2692" s="1926">
        <f>SUM(G2693)</f>
        <v>883763</v>
      </c>
      <c r="H2692" s="1925">
        <f t="shared" ref="H2692:H2720" si="203">G2692/F2692</f>
        <v>0.6286749824827228</v>
      </c>
      <c r="J2692" s="1702"/>
    </row>
    <row r="2693" spans="1:10" s="1906" customFormat="1" ht="17.100000000000001" customHeight="1">
      <c r="A2693" s="1923"/>
      <c r="B2693" s="1922"/>
      <c r="C2693" s="4107" t="s">
        <v>940</v>
      </c>
      <c r="D2693" s="4108"/>
      <c r="E2693" s="1919">
        <f>SUM(E2697:E2698)</f>
        <v>1485851</v>
      </c>
      <c r="F2693" s="1919">
        <f>SUM(F2697:F2698)</f>
        <v>1405755</v>
      </c>
      <c r="G2693" s="1918">
        <f>SUM(G2697:G2698)</f>
        <v>883763</v>
      </c>
      <c r="H2693" s="1914">
        <f t="shared" si="203"/>
        <v>0.6286749824827228</v>
      </c>
      <c r="J2693" s="1702"/>
    </row>
    <row r="2694" spans="1:10" s="1906" customFormat="1" ht="17.100000000000001" hidden="1" customHeight="1">
      <c r="A2694" s="1923"/>
      <c r="B2694" s="1922"/>
      <c r="C2694" s="1921" t="s">
        <v>546</v>
      </c>
      <c r="D2694" s="1920" t="s">
        <v>1023</v>
      </c>
      <c r="E2694" s="1919">
        <v>0</v>
      </c>
      <c r="F2694" s="1919"/>
      <c r="G2694" s="1918"/>
      <c r="H2694" s="1914" t="e">
        <f t="shared" si="203"/>
        <v>#DIV/0!</v>
      </c>
      <c r="J2694" s="1702"/>
    </row>
    <row r="2695" spans="1:10" s="1906" customFormat="1" ht="17.100000000000001" hidden="1" customHeight="1">
      <c r="A2695" s="1923"/>
      <c r="B2695" s="1922"/>
      <c r="C2695" s="1924" t="s">
        <v>506</v>
      </c>
      <c r="D2695" s="1920" t="s">
        <v>1023</v>
      </c>
      <c r="E2695" s="1919">
        <v>0</v>
      </c>
      <c r="F2695" s="1919"/>
      <c r="G2695" s="1918"/>
      <c r="H2695" s="1914" t="e">
        <f t="shared" si="203"/>
        <v>#DIV/0!</v>
      </c>
      <c r="J2695" s="1702"/>
    </row>
    <row r="2696" spans="1:10" s="1906" customFormat="1" ht="17.100000000000001" hidden="1" customHeight="1">
      <c r="A2696" s="1923"/>
      <c r="B2696" s="1922"/>
      <c r="C2696" s="1921" t="s">
        <v>505</v>
      </c>
      <c r="D2696" s="1920" t="s">
        <v>1023</v>
      </c>
      <c r="E2696" s="1919">
        <v>0</v>
      </c>
      <c r="F2696" s="1919"/>
      <c r="G2696" s="1918"/>
      <c r="H2696" s="1914" t="e">
        <f t="shared" si="203"/>
        <v>#DIV/0!</v>
      </c>
      <c r="J2696" s="1702"/>
    </row>
    <row r="2697" spans="1:10" s="1906" customFormat="1" ht="56.25" customHeight="1" thickBot="1">
      <c r="A2697" s="1913"/>
      <c r="B2697" s="1912"/>
      <c r="C2697" s="1917" t="s">
        <v>186</v>
      </c>
      <c r="D2697" s="1910" t="s">
        <v>1026</v>
      </c>
      <c r="E2697" s="1916">
        <v>1485851</v>
      </c>
      <c r="F2697" s="1916">
        <v>1257013</v>
      </c>
      <c r="G2697" s="1915">
        <v>883763</v>
      </c>
      <c r="H2697" s="1914">
        <f t="shared" si="203"/>
        <v>0.70306591896822068</v>
      </c>
      <c r="J2697" s="1702" t="s">
        <v>1025</v>
      </c>
    </row>
    <row r="2698" spans="1:10" s="1906" customFormat="1" ht="43.5" hidden="1" customHeight="1" thickBot="1">
      <c r="A2698" s="1913"/>
      <c r="B2698" s="1912"/>
      <c r="C2698" s="1911" t="s">
        <v>939</v>
      </c>
      <c r="D2698" s="1910" t="s">
        <v>938</v>
      </c>
      <c r="E2698" s="1909">
        <v>0</v>
      </c>
      <c r="F2698" s="1909">
        <v>148742</v>
      </c>
      <c r="G2698" s="1908">
        <v>0</v>
      </c>
      <c r="H2698" s="1907">
        <f t="shared" si="203"/>
        <v>0</v>
      </c>
      <c r="J2698" s="1702"/>
    </row>
    <row r="2699" spans="1:10" ht="26.25" hidden="1" thickBot="1">
      <c r="A2699" s="1836"/>
      <c r="B2699" s="1822"/>
      <c r="C2699" s="1905" t="s">
        <v>605</v>
      </c>
      <c r="D2699" s="1820" t="s">
        <v>1022</v>
      </c>
      <c r="E2699" s="1904">
        <v>0</v>
      </c>
      <c r="F2699" s="1904"/>
      <c r="G2699" s="1903"/>
      <c r="H2699" s="1902" t="e">
        <f t="shared" si="203"/>
        <v>#DIV/0!</v>
      </c>
    </row>
    <row r="2700" spans="1:10" ht="17.100000000000001" hidden="1" customHeight="1" thickBot="1">
      <c r="A2700" s="1836"/>
      <c r="B2700" s="1822"/>
      <c r="C2700" s="4109"/>
      <c r="D2700" s="4110"/>
      <c r="E2700" s="1897"/>
      <c r="F2700" s="1897"/>
      <c r="G2700" s="1896"/>
      <c r="H2700" s="1799" t="e">
        <f t="shared" si="203"/>
        <v>#DIV/0!</v>
      </c>
    </row>
    <row r="2701" spans="1:10" ht="27" hidden="1" customHeight="1" thickBot="1">
      <c r="A2701" s="1836"/>
      <c r="B2701" s="1822"/>
      <c r="C2701" s="4111" t="s">
        <v>1024</v>
      </c>
      <c r="D2701" s="4112"/>
      <c r="E2701" s="1897">
        <v>0</v>
      </c>
      <c r="F2701" s="1897"/>
      <c r="G2701" s="1896"/>
      <c r="H2701" s="1799" t="e">
        <f t="shared" si="203"/>
        <v>#DIV/0!</v>
      </c>
    </row>
    <row r="2702" spans="1:10" ht="17.100000000000001" hidden="1" customHeight="1" thickBot="1">
      <c r="A2702" s="1836"/>
      <c r="B2702" s="1822"/>
      <c r="C2702" s="1900" t="s">
        <v>546</v>
      </c>
      <c r="D2702" s="1901" t="s">
        <v>1023</v>
      </c>
      <c r="E2702" s="1898">
        <v>0</v>
      </c>
      <c r="F2702" s="1897"/>
      <c r="G2702" s="1896"/>
      <c r="H2702" s="1799" t="e">
        <f t="shared" si="203"/>
        <v>#DIV/0!</v>
      </c>
    </row>
    <row r="2703" spans="1:10" ht="17.100000000000001" hidden="1" customHeight="1" thickBot="1">
      <c r="A2703" s="1836"/>
      <c r="B2703" s="1822"/>
      <c r="C2703" s="1900" t="s">
        <v>506</v>
      </c>
      <c r="D2703" s="1901" t="s">
        <v>1023</v>
      </c>
      <c r="E2703" s="1898">
        <v>0</v>
      </c>
      <c r="F2703" s="1897"/>
      <c r="G2703" s="1896"/>
      <c r="H2703" s="1799" t="e">
        <f t="shared" si="203"/>
        <v>#DIV/0!</v>
      </c>
    </row>
    <row r="2704" spans="1:10" ht="17.100000000000001" hidden="1" customHeight="1" thickBot="1">
      <c r="A2704" s="1836"/>
      <c r="B2704" s="1822"/>
      <c r="C2704" s="1900" t="s">
        <v>505</v>
      </c>
      <c r="D2704" s="1901" t="s">
        <v>1023</v>
      </c>
      <c r="E2704" s="1898">
        <v>0</v>
      </c>
      <c r="F2704" s="1897"/>
      <c r="G2704" s="1896"/>
      <c r="H2704" s="1799" t="e">
        <f t="shared" si="203"/>
        <v>#DIV/0!</v>
      </c>
    </row>
    <row r="2705" spans="1:10" ht="28.5" hidden="1" customHeight="1" thickBot="1">
      <c r="A2705" s="1836"/>
      <c r="B2705" s="1822"/>
      <c r="C2705" s="1900" t="s">
        <v>605</v>
      </c>
      <c r="D2705" s="1899" t="s">
        <v>1022</v>
      </c>
      <c r="E2705" s="1898">
        <v>0</v>
      </c>
      <c r="F2705" s="1897"/>
      <c r="G2705" s="1896"/>
      <c r="H2705" s="1784" t="e">
        <f t="shared" si="203"/>
        <v>#DIV/0!</v>
      </c>
    </row>
    <row r="2706" spans="1:10" s="1702" customFormat="1" ht="27.75" customHeight="1" thickBot="1">
      <c r="A2706" s="1844" t="s">
        <v>808</v>
      </c>
      <c r="B2706" s="1843"/>
      <c r="C2706" s="1842"/>
      <c r="D2706" s="1841" t="s">
        <v>1021</v>
      </c>
      <c r="E2706" s="1737">
        <f>SUM(E2711,E2749)</f>
        <v>1543154</v>
      </c>
      <c r="F2706" s="1737">
        <f>SUM(F2711,F2749)</f>
        <v>1806916</v>
      </c>
      <c r="G2706" s="1736">
        <f>SUM(G2711,G2749)</f>
        <v>1721477</v>
      </c>
      <c r="H2706" s="1735">
        <f t="shared" si="203"/>
        <v>0.9527155661912341</v>
      </c>
    </row>
    <row r="2707" spans="1:10" s="1702" customFormat="1" ht="33.75" hidden="1" customHeight="1" thickBot="1">
      <c r="A2707" s="1891"/>
      <c r="B2707" s="1768" t="s">
        <v>1020</v>
      </c>
      <c r="C2707" s="1839"/>
      <c r="D2707" s="1838" t="s">
        <v>1019</v>
      </c>
      <c r="E2707" s="1818">
        <v>0</v>
      </c>
      <c r="F2707" s="1818">
        <v>0</v>
      </c>
      <c r="G2707" s="1817">
        <v>0</v>
      </c>
      <c r="H2707" s="1814" t="e">
        <f t="shared" si="203"/>
        <v>#DIV/0!</v>
      </c>
    </row>
    <row r="2708" spans="1:10" s="1702" customFormat="1" ht="18.75" hidden="1" customHeight="1" thickBot="1">
      <c r="A2708" s="1891"/>
      <c r="B2708" s="4113"/>
      <c r="C2708" s="4115" t="s">
        <v>941</v>
      </c>
      <c r="D2708" s="4115"/>
      <c r="E2708" s="1895">
        <v>0</v>
      </c>
      <c r="F2708" s="1895">
        <v>0</v>
      </c>
      <c r="G2708" s="1894">
        <v>0</v>
      </c>
      <c r="H2708" s="1781" t="e">
        <f t="shared" si="203"/>
        <v>#DIV/0!</v>
      </c>
    </row>
    <row r="2709" spans="1:10" s="1702" customFormat="1" ht="18.75" hidden="1" customHeight="1" thickBot="1">
      <c r="A2709" s="1891"/>
      <c r="B2709" s="4114"/>
      <c r="C2709" s="4089" t="s">
        <v>940</v>
      </c>
      <c r="D2709" s="4090"/>
      <c r="E2709" s="1893">
        <v>0</v>
      </c>
      <c r="F2709" s="1893">
        <v>0</v>
      </c>
      <c r="G2709" s="1892">
        <v>0</v>
      </c>
      <c r="H2709" s="1781" t="e">
        <f t="shared" si="203"/>
        <v>#DIV/0!</v>
      </c>
    </row>
    <row r="2710" spans="1:10" s="1702" customFormat="1" ht="42.75" hidden="1" customHeight="1" thickBot="1">
      <c r="A2710" s="1891"/>
      <c r="B2710" s="4114"/>
      <c r="C2710" s="1890" t="s">
        <v>594</v>
      </c>
      <c r="D2710" s="1864" t="s">
        <v>1018</v>
      </c>
      <c r="E2710" s="1833">
        <v>0</v>
      </c>
      <c r="F2710" s="1833">
        <v>0</v>
      </c>
      <c r="G2710" s="1832">
        <v>0</v>
      </c>
      <c r="H2710" s="1889" t="e">
        <f t="shared" si="203"/>
        <v>#DIV/0!</v>
      </c>
    </row>
    <row r="2711" spans="1:10" s="1702" customFormat="1" ht="17.100000000000001" customHeight="1" thickBot="1">
      <c r="A2711" s="1886"/>
      <c r="B2711" s="1768" t="s">
        <v>1017</v>
      </c>
      <c r="C2711" s="1839"/>
      <c r="D2711" s="1838" t="s">
        <v>410</v>
      </c>
      <c r="E2711" s="1818">
        <f>SUM(E2712)</f>
        <v>1521154</v>
      </c>
      <c r="F2711" s="1818">
        <f>SUM(F2712)</f>
        <v>1779916</v>
      </c>
      <c r="G2711" s="1817">
        <f>SUM(G2712)</f>
        <v>1687477</v>
      </c>
      <c r="H2711" s="1763">
        <f t="shared" si="203"/>
        <v>0.94806552668777633</v>
      </c>
      <c r="J2711" s="1702" t="s">
        <v>975</v>
      </c>
    </row>
    <row r="2712" spans="1:10" s="1702" customFormat="1" ht="17.100000000000001" customHeight="1">
      <c r="A2712" s="1756"/>
      <c r="B2712" s="1831"/>
      <c r="C2712" s="4085" t="s">
        <v>944</v>
      </c>
      <c r="D2712" s="4085"/>
      <c r="E2712" s="1815">
        <f>SUM(E2713,E2741)</f>
        <v>1521154</v>
      </c>
      <c r="F2712" s="1815">
        <f>SUM(F2713,F2741)</f>
        <v>1779916</v>
      </c>
      <c r="G2712" s="1761">
        <f>SUM(G2713,G2741)</f>
        <v>1687477</v>
      </c>
      <c r="H2712" s="1814">
        <f t="shared" si="203"/>
        <v>0.94806552668777633</v>
      </c>
    </row>
    <row r="2713" spans="1:10" s="1702" customFormat="1" ht="17.100000000000001" customHeight="1">
      <c r="A2713" s="1756"/>
      <c r="B2713" s="1831"/>
      <c r="C2713" s="4116" t="s">
        <v>967</v>
      </c>
      <c r="D2713" s="4116"/>
      <c r="E2713" s="1850">
        <f>SUM(E2714,E2722)</f>
        <v>1450974</v>
      </c>
      <c r="F2713" s="1850">
        <f>SUM(F2714,F2722)</f>
        <v>1708236</v>
      </c>
      <c r="G2713" s="1849">
        <f>SUM(G2714,G2722)</f>
        <v>1635908</v>
      </c>
      <c r="H2713" s="1848">
        <f t="shared" si="203"/>
        <v>0.95765924614631703</v>
      </c>
    </row>
    <row r="2714" spans="1:10" s="1702" customFormat="1" ht="17.100000000000001" customHeight="1">
      <c r="A2714" s="1756"/>
      <c r="B2714" s="1831"/>
      <c r="C2714" s="4100" t="s">
        <v>966</v>
      </c>
      <c r="D2714" s="4100"/>
      <c r="E2714" s="1859">
        <f>SUM(E2715:E2720)</f>
        <v>1165173</v>
      </c>
      <c r="F2714" s="1859">
        <f>SUM(F2715:F2720)</f>
        <v>1163333</v>
      </c>
      <c r="G2714" s="1858">
        <f>SUM(G2715:G2720)</f>
        <v>1320380</v>
      </c>
      <c r="H2714" s="1857">
        <f t="shared" si="203"/>
        <v>1.1349974598846591</v>
      </c>
    </row>
    <row r="2715" spans="1:10" s="1702" customFormat="1" ht="17.100000000000001" customHeight="1">
      <c r="A2715" s="1756"/>
      <c r="B2715" s="1831"/>
      <c r="C2715" s="1759" t="s">
        <v>1016</v>
      </c>
      <c r="D2715" s="1758" t="s">
        <v>1015</v>
      </c>
      <c r="E2715" s="1850">
        <v>895996</v>
      </c>
      <c r="F2715" s="1850">
        <v>895996</v>
      </c>
      <c r="G2715" s="1849">
        <v>1015660</v>
      </c>
      <c r="H2715" s="1848">
        <f t="shared" si="203"/>
        <v>1.1335541676525343</v>
      </c>
    </row>
    <row r="2716" spans="1:10" s="1702" customFormat="1" ht="17.100000000000001" customHeight="1">
      <c r="A2716" s="1756"/>
      <c r="B2716" s="1831"/>
      <c r="C2716" s="1759" t="s">
        <v>1014</v>
      </c>
      <c r="D2716" s="1758" t="s">
        <v>1013</v>
      </c>
      <c r="E2716" s="1850">
        <v>66259</v>
      </c>
      <c r="F2716" s="1850">
        <v>62919</v>
      </c>
      <c r="G2716" s="1849">
        <v>71329</v>
      </c>
      <c r="H2716" s="1848">
        <f t="shared" si="203"/>
        <v>1.1336639170997631</v>
      </c>
    </row>
    <row r="2717" spans="1:10" s="1702" customFormat="1" ht="17.100000000000001" customHeight="1">
      <c r="A2717" s="1756"/>
      <c r="B2717" s="1831"/>
      <c r="C2717" s="1759" t="s">
        <v>965</v>
      </c>
      <c r="D2717" s="1758" t="s">
        <v>964</v>
      </c>
      <c r="E2717" s="1850">
        <v>172426</v>
      </c>
      <c r="F2717" s="1850">
        <v>172426</v>
      </c>
      <c r="G2717" s="1849">
        <v>196317</v>
      </c>
      <c r="H2717" s="1848">
        <f t="shared" si="203"/>
        <v>1.1385579900943013</v>
      </c>
    </row>
    <row r="2718" spans="1:10" s="1702" customFormat="1" ht="16.5" customHeight="1">
      <c r="A2718" s="1756"/>
      <c r="B2718" s="1831"/>
      <c r="C2718" s="1759" t="s">
        <v>963</v>
      </c>
      <c r="D2718" s="1758" t="s">
        <v>962</v>
      </c>
      <c r="E2718" s="1850">
        <v>15881</v>
      </c>
      <c r="F2718" s="1850">
        <v>15881</v>
      </c>
      <c r="G2718" s="1849">
        <v>16933</v>
      </c>
      <c r="H2718" s="1848">
        <f t="shared" si="203"/>
        <v>1.0662426799319942</v>
      </c>
    </row>
    <row r="2719" spans="1:10" s="1702" customFormat="1" ht="17.100000000000001" customHeight="1">
      <c r="A2719" s="1756"/>
      <c r="B2719" s="1831"/>
      <c r="C2719" s="1759" t="s">
        <v>974</v>
      </c>
      <c r="D2719" s="1758" t="s">
        <v>973</v>
      </c>
      <c r="E2719" s="1850">
        <v>11200</v>
      </c>
      <c r="F2719" s="1850">
        <v>12700</v>
      </c>
      <c r="G2719" s="1849">
        <v>16200</v>
      </c>
      <c r="H2719" s="1848">
        <f t="shared" si="203"/>
        <v>1.2755905511811023</v>
      </c>
    </row>
    <row r="2720" spans="1:10" s="1702" customFormat="1" ht="17.100000000000001" customHeight="1" thickBot="1">
      <c r="A2720" s="1743"/>
      <c r="B2720" s="1847"/>
      <c r="C2720" s="3710" t="s">
        <v>1012</v>
      </c>
      <c r="D2720" s="3711" t="s">
        <v>1011</v>
      </c>
      <c r="E2720" s="3712">
        <v>3411</v>
      </c>
      <c r="F2720" s="3712">
        <v>3411</v>
      </c>
      <c r="G2720" s="1738">
        <v>3941</v>
      </c>
      <c r="H2720" s="1757">
        <f t="shared" si="203"/>
        <v>1.1553796540603929</v>
      </c>
    </row>
    <row r="2721" spans="1:8" s="1702" customFormat="1" ht="15.75" customHeight="1" thickBot="1">
      <c r="A2721" s="1743"/>
      <c r="B2721" s="1847"/>
      <c r="C2721" s="1888"/>
      <c r="D2721" s="1888"/>
      <c r="E2721" s="1887"/>
      <c r="F2721" s="1873"/>
      <c r="G2721" s="1872"/>
      <c r="H2721" s="1757"/>
    </row>
    <row r="2722" spans="1:8" s="1702" customFormat="1" ht="17.100000000000001" customHeight="1">
      <c r="A2722" s="1886"/>
      <c r="B2722" s="1885"/>
      <c r="C2722" s="4101" t="s">
        <v>961</v>
      </c>
      <c r="D2722" s="4101"/>
      <c r="E2722" s="1884">
        <f>SUM(E2723:E2739)</f>
        <v>285801</v>
      </c>
      <c r="F2722" s="1884">
        <f>SUM(F2723:F2739)</f>
        <v>544903</v>
      </c>
      <c r="G2722" s="1883">
        <f>SUM(G2723:G2739)</f>
        <v>315528</v>
      </c>
      <c r="H2722" s="1807">
        <f t="shared" ref="H2722:H2739" si="204">G2722/F2722</f>
        <v>0.57905351961725293</v>
      </c>
    </row>
    <row r="2723" spans="1:8" s="1702" customFormat="1" ht="17.100000000000001" customHeight="1">
      <c r="A2723" s="1756"/>
      <c r="B2723" s="1831"/>
      <c r="C2723" s="1882" t="s">
        <v>1010</v>
      </c>
      <c r="D2723" s="1881" t="s">
        <v>1009</v>
      </c>
      <c r="E2723" s="1752">
        <v>11300</v>
      </c>
      <c r="F2723" s="1752">
        <v>13540</v>
      </c>
      <c r="G2723" s="1751">
        <v>16000</v>
      </c>
      <c r="H2723" s="1757">
        <f t="shared" si="204"/>
        <v>1.1816838995568686</v>
      </c>
    </row>
    <row r="2724" spans="1:8" s="1702" customFormat="1" ht="17.100000000000001" customHeight="1">
      <c r="A2724" s="1756"/>
      <c r="B2724" s="1831"/>
      <c r="C2724" s="1878" t="s">
        <v>613</v>
      </c>
      <c r="D2724" s="1771" t="s">
        <v>960</v>
      </c>
      <c r="E2724" s="1752">
        <v>55900</v>
      </c>
      <c r="F2724" s="1752">
        <v>119021</v>
      </c>
      <c r="G2724" s="1751">
        <v>61311</v>
      </c>
      <c r="H2724" s="1757">
        <f t="shared" si="204"/>
        <v>0.51512758252745317</v>
      </c>
    </row>
    <row r="2725" spans="1:8" s="1702" customFormat="1" ht="17.100000000000001" customHeight="1">
      <c r="A2725" s="1756"/>
      <c r="B2725" s="1831"/>
      <c r="C2725" s="1759" t="s">
        <v>1008</v>
      </c>
      <c r="D2725" s="1758" t="s">
        <v>1007</v>
      </c>
      <c r="E2725" s="1752">
        <v>7150</v>
      </c>
      <c r="F2725" s="1752">
        <v>10250</v>
      </c>
      <c r="G2725" s="1751">
        <v>9950</v>
      </c>
      <c r="H2725" s="1757">
        <f t="shared" si="204"/>
        <v>0.97073170731707314</v>
      </c>
    </row>
    <row r="2726" spans="1:8" s="1702" customFormat="1" ht="17.100000000000001" hidden="1" customHeight="1">
      <c r="A2726" s="1756"/>
      <c r="B2726" s="1831"/>
      <c r="C2726" s="1759" t="s">
        <v>1006</v>
      </c>
      <c r="D2726" s="1758" t="s">
        <v>1005</v>
      </c>
      <c r="E2726" s="1752">
        <v>0</v>
      </c>
      <c r="F2726" s="1752"/>
      <c r="G2726" s="1751"/>
      <c r="H2726" s="1757" t="e">
        <f t="shared" si="204"/>
        <v>#DIV/0!</v>
      </c>
    </row>
    <row r="2727" spans="1:8" s="1702" customFormat="1" ht="17.100000000000001" customHeight="1">
      <c r="A2727" s="1756"/>
      <c r="B2727" s="1831"/>
      <c r="C2727" s="1759" t="s">
        <v>1004</v>
      </c>
      <c r="D2727" s="1758" t="s">
        <v>1003</v>
      </c>
      <c r="E2727" s="1752">
        <v>46000</v>
      </c>
      <c r="F2727" s="1752">
        <v>86135</v>
      </c>
      <c r="G2727" s="1751">
        <v>48000</v>
      </c>
      <c r="H2727" s="1757">
        <f t="shared" si="204"/>
        <v>0.55726475880884663</v>
      </c>
    </row>
    <row r="2728" spans="1:8" s="1702" customFormat="1" ht="17.100000000000001" customHeight="1">
      <c r="A2728" s="1756"/>
      <c r="B2728" s="1831"/>
      <c r="C2728" s="1759" t="s">
        <v>1002</v>
      </c>
      <c r="D2728" s="1758" t="s">
        <v>1001</v>
      </c>
      <c r="E2728" s="1752">
        <v>3500</v>
      </c>
      <c r="F2728" s="1752">
        <v>2622</v>
      </c>
      <c r="G2728" s="1751">
        <v>3500</v>
      </c>
      <c r="H2728" s="1757">
        <f t="shared" si="204"/>
        <v>1.3348588863463005</v>
      </c>
    </row>
    <row r="2729" spans="1:8" s="1702" customFormat="1" ht="17.100000000000001" customHeight="1">
      <c r="A2729" s="1756"/>
      <c r="B2729" s="1831"/>
      <c r="C2729" s="1880" t="s">
        <v>1000</v>
      </c>
      <c r="D2729" s="1879" t="s">
        <v>999</v>
      </c>
      <c r="E2729" s="1752">
        <v>1100</v>
      </c>
      <c r="F2729" s="1752">
        <v>3049</v>
      </c>
      <c r="G2729" s="1751">
        <v>1700</v>
      </c>
      <c r="H2729" s="1757">
        <f t="shared" si="204"/>
        <v>0.55755985569039024</v>
      </c>
    </row>
    <row r="2730" spans="1:8" s="1702" customFormat="1" ht="17.100000000000001" customHeight="1">
      <c r="A2730" s="1756"/>
      <c r="B2730" s="1831"/>
      <c r="C2730" s="1878" t="s">
        <v>959</v>
      </c>
      <c r="D2730" s="1771" t="s">
        <v>958</v>
      </c>
      <c r="E2730" s="1752">
        <v>48562</v>
      </c>
      <c r="F2730" s="1752">
        <v>193637</v>
      </c>
      <c r="G2730" s="1751">
        <v>57529</v>
      </c>
      <c r="H2730" s="1757">
        <f t="shared" si="204"/>
        <v>0.29709714569013151</v>
      </c>
    </row>
    <row r="2731" spans="1:8" s="1702" customFormat="1" ht="16.5" customHeight="1">
      <c r="A2731" s="1756"/>
      <c r="B2731" s="1831"/>
      <c r="C2731" s="1759" t="s">
        <v>998</v>
      </c>
      <c r="D2731" s="1758" t="s">
        <v>997</v>
      </c>
      <c r="E2731" s="1752">
        <v>3100</v>
      </c>
      <c r="F2731" s="1752">
        <v>3100</v>
      </c>
      <c r="G2731" s="1751">
        <v>3100</v>
      </c>
      <c r="H2731" s="1757">
        <f t="shared" si="204"/>
        <v>1</v>
      </c>
    </row>
    <row r="2732" spans="1:8" s="1702" customFormat="1" ht="16.5" hidden="1" customHeight="1">
      <c r="A2732" s="1756"/>
      <c r="B2732" s="1831"/>
      <c r="C2732" s="1759" t="s">
        <v>996</v>
      </c>
      <c r="D2732" s="1758" t="s">
        <v>995</v>
      </c>
      <c r="E2732" s="1752">
        <v>0</v>
      </c>
      <c r="F2732" s="1752"/>
      <c r="G2732" s="1751"/>
      <c r="H2732" s="1757" t="e">
        <f t="shared" si="204"/>
        <v>#DIV/0!</v>
      </c>
    </row>
    <row r="2733" spans="1:8" s="1702" customFormat="1" ht="29.25" customHeight="1">
      <c r="A2733" s="1756"/>
      <c r="B2733" s="1831"/>
      <c r="C2733" s="1759" t="s">
        <v>994</v>
      </c>
      <c r="D2733" s="1758" t="s">
        <v>993</v>
      </c>
      <c r="E2733" s="1752">
        <v>64980</v>
      </c>
      <c r="F2733" s="1752">
        <v>64980</v>
      </c>
      <c r="G2733" s="1751">
        <v>68290</v>
      </c>
      <c r="H2733" s="1757">
        <f t="shared" si="204"/>
        <v>1.0509387503847338</v>
      </c>
    </row>
    <row r="2734" spans="1:8" s="1702" customFormat="1" ht="17.100000000000001" customHeight="1">
      <c r="A2734" s="1756"/>
      <c r="B2734" s="1831"/>
      <c r="C2734" s="1759" t="s">
        <v>992</v>
      </c>
      <c r="D2734" s="1758" t="s">
        <v>991</v>
      </c>
      <c r="E2734" s="1752">
        <v>1100</v>
      </c>
      <c r="F2734" s="1752">
        <v>2590</v>
      </c>
      <c r="G2734" s="1751">
        <v>1200</v>
      </c>
      <c r="H2734" s="1757">
        <f t="shared" si="204"/>
        <v>0.46332046332046334</v>
      </c>
    </row>
    <row r="2735" spans="1:8" s="1702" customFormat="1" ht="17.100000000000001" hidden="1" customHeight="1">
      <c r="A2735" s="1756"/>
      <c r="B2735" s="1831"/>
      <c r="C2735" s="1759" t="s">
        <v>990</v>
      </c>
      <c r="D2735" s="1758" t="s">
        <v>989</v>
      </c>
      <c r="E2735" s="1752">
        <v>300</v>
      </c>
      <c r="F2735" s="1752">
        <v>300</v>
      </c>
      <c r="G2735" s="1751">
        <v>0</v>
      </c>
      <c r="H2735" s="1757">
        <f t="shared" si="204"/>
        <v>0</v>
      </c>
    </row>
    <row r="2736" spans="1:8" s="1702" customFormat="1" ht="17.100000000000001" customHeight="1">
      <c r="A2736" s="1756"/>
      <c r="B2736" s="1831"/>
      <c r="C2736" s="1759" t="s">
        <v>988</v>
      </c>
      <c r="D2736" s="1758" t="s">
        <v>987</v>
      </c>
      <c r="E2736" s="1752">
        <v>6600</v>
      </c>
      <c r="F2736" s="1752">
        <v>6600</v>
      </c>
      <c r="G2736" s="1751">
        <v>7629</v>
      </c>
      <c r="H2736" s="1757">
        <f t="shared" si="204"/>
        <v>1.155909090909091</v>
      </c>
    </row>
    <row r="2737" spans="1:10" s="1702" customFormat="1" ht="17.100000000000001" customHeight="1">
      <c r="A2737" s="1831"/>
      <c r="B2737" s="1831"/>
      <c r="C2737" s="1880" t="s">
        <v>986</v>
      </c>
      <c r="D2737" s="1879" t="s">
        <v>985</v>
      </c>
      <c r="E2737" s="1752">
        <v>28035</v>
      </c>
      <c r="F2737" s="1752">
        <v>30905</v>
      </c>
      <c r="G2737" s="1751">
        <v>29242</v>
      </c>
      <c r="H2737" s="1757">
        <f t="shared" si="204"/>
        <v>0.94618993690341369</v>
      </c>
    </row>
    <row r="2738" spans="1:10" s="1702" customFormat="1" ht="17.100000000000001" customHeight="1">
      <c r="A2738" s="1756"/>
      <c r="B2738" s="1831"/>
      <c r="C2738" s="1878" t="s">
        <v>984</v>
      </c>
      <c r="D2738" s="1771" t="s">
        <v>983</v>
      </c>
      <c r="E2738" s="1870">
        <v>2674</v>
      </c>
      <c r="F2738" s="1870">
        <v>2674</v>
      </c>
      <c r="G2738" s="1802">
        <v>2877</v>
      </c>
      <c r="H2738" s="1837">
        <f t="shared" si="204"/>
        <v>1.0759162303664922</v>
      </c>
    </row>
    <row r="2739" spans="1:10" s="1702" customFormat="1" ht="18" customHeight="1">
      <c r="A2739" s="1756"/>
      <c r="B2739" s="1831"/>
      <c r="C2739" s="1759" t="s">
        <v>982</v>
      </c>
      <c r="D2739" s="1758" t="s">
        <v>981</v>
      </c>
      <c r="E2739" s="1752">
        <v>5500</v>
      </c>
      <c r="F2739" s="1752">
        <v>5500</v>
      </c>
      <c r="G2739" s="1751">
        <v>5200</v>
      </c>
      <c r="H2739" s="1757">
        <f t="shared" si="204"/>
        <v>0.94545454545454544</v>
      </c>
    </row>
    <row r="2740" spans="1:10" s="1702" customFormat="1" ht="14.25" customHeight="1">
      <c r="A2740" s="1756"/>
      <c r="B2740" s="1831"/>
      <c r="C2740" s="1810"/>
      <c r="D2740" s="1811"/>
      <c r="E2740" s="1810"/>
      <c r="F2740" s="1752"/>
      <c r="G2740" s="1751"/>
      <c r="H2740" s="1757"/>
    </row>
    <row r="2741" spans="1:10" s="1702" customFormat="1" ht="17.100000000000001" customHeight="1">
      <c r="A2741" s="1756"/>
      <c r="B2741" s="1831"/>
      <c r="C2741" s="4102" t="s">
        <v>952</v>
      </c>
      <c r="D2741" s="4102"/>
      <c r="E2741" s="1877">
        <f>SUM(E2742)</f>
        <v>70180</v>
      </c>
      <c r="F2741" s="1877">
        <f>SUM(F2742:F2743)</f>
        <v>71680</v>
      </c>
      <c r="G2741" s="1876">
        <f>SUM(G2742:G2743)</f>
        <v>51569</v>
      </c>
      <c r="H2741" s="1757">
        <f t="shared" ref="H2741:H2757" si="205">G2741/F2741</f>
        <v>0.71943359375000004</v>
      </c>
    </row>
    <row r="2742" spans="1:10" s="1702" customFormat="1" ht="18" customHeight="1" thickBot="1">
      <c r="A2742" s="1831"/>
      <c r="B2742" s="1831"/>
      <c r="C2742" s="1867" t="s">
        <v>980</v>
      </c>
      <c r="D2742" s="1866" t="s">
        <v>979</v>
      </c>
      <c r="E2742" s="1752">
        <v>70180</v>
      </c>
      <c r="F2742" s="1752">
        <v>70180</v>
      </c>
      <c r="G2742" s="1751">
        <v>51569</v>
      </c>
      <c r="H2742" s="1757">
        <f t="shared" si="205"/>
        <v>0.73481048731832432</v>
      </c>
    </row>
    <row r="2743" spans="1:10" s="1702" customFormat="1" ht="18" hidden="1" customHeight="1" thickBot="1">
      <c r="A2743" s="1743"/>
      <c r="B2743" s="1847"/>
      <c r="C2743" s="1875" t="s">
        <v>978</v>
      </c>
      <c r="D2743" s="1874" t="s">
        <v>977</v>
      </c>
      <c r="E2743" s="1873">
        <v>0</v>
      </c>
      <c r="F2743" s="1873">
        <v>1500</v>
      </c>
      <c r="G2743" s="1872">
        <v>0</v>
      </c>
      <c r="H2743" s="1871">
        <f t="shared" si="205"/>
        <v>0</v>
      </c>
    </row>
    <row r="2744" spans="1:10" s="1702" customFormat="1" ht="18" hidden="1" customHeight="1">
      <c r="A2744" s="1756"/>
      <c r="B2744" s="1831"/>
      <c r="C2744" s="4103"/>
      <c r="D2744" s="4104"/>
      <c r="E2744" s="1870"/>
      <c r="F2744" s="1870"/>
      <c r="G2744" s="1802"/>
      <c r="H2744" s="1837" t="e">
        <f t="shared" si="205"/>
        <v>#DIV/0!</v>
      </c>
    </row>
    <row r="2745" spans="1:10" s="1702" customFormat="1" ht="18" hidden="1" customHeight="1">
      <c r="A2745" s="1756"/>
      <c r="B2745" s="1831"/>
      <c r="C2745" s="4082" t="s">
        <v>976</v>
      </c>
      <c r="D2745" s="4083"/>
      <c r="E2745" s="1752">
        <v>0</v>
      </c>
      <c r="F2745" s="1752"/>
      <c r="G2745" s="1751"/>
      <c r="H2745" s="1757" t="e">
        <f t="shared" si="205"/>
        <v>#DIV/0!</v>
      </c>
    </row>
    <row r="2746" spans="1:10" s="1702" customFormat="1" ht="18" hidden="1" customHeight="1">
      <c r="A2746" s="1756"/>
      <c r="B2746" s="1831"/>
      <c r="C2746" s="1869" t="s">
        <v>959</v>
      </c>
      <c r="D2746" s="1868" t="s">
        <v>958</v>
      </c>
      <c r="E2746" s="1752">
        <v>0</v>
      </c>
      <c r="F2746" s="1752"/>
      <c r="G2746" s="1751"/>
      <c r="H2746" s="1757" t="e">
        <f t="shared" si="205"/>
        <v>#DIV/0!</v>
      </c>
    </row>
    <row r="2747" spans="1:10" s="1702" customFormat="1" ht="18" hidden="1" customHeight="1">
      <c r="A2747" s="1756"/>
      <c r="B2747" s="1831"/>
      <c r="C2747" s="1867" t="s">
        <v>446</v>
      </c>
      <c r="D2747" s="1866" t="s">
        <v>958</v>
      </c>
      <c r="E2747" s="1752">
        <v>0</v>
      </c>
      <c r="F2747" s="1752"/>
      <c r="G2747" s="1751"/>
      <c r="H2747" s="1757" t="e">
        <f t="shared" si="205"/>
        <v>#DIV/0!</v>
      </c>
    </row>
    <row r="2748" spans="1:10" s="1702" customFormat="1" ht="18" hidden="1" customHeight="1" thickBot="1">
      <c r="A2748" s="1756"/>
      <c r="B2748" s="1831"/>
      <c r="C2748" s="1865" t="s">
        <v>445</v>
      </c>
      <c r="D2748" s="1864" t="s">
        <v>958</v>
      </c>
      <c r="E2748" s="1770">
        <v>0</v>
      </c>
      <c r="F2748" s="1770"/>
      <c r="G2748" s="1863"/>
      <c r="H2748" s="1769" t="e">
        <f t="shared" si="205"/>
        <v>#DIV/0!</v>
      </c>
    </row>
    <row r="2749" spans="1:10" s="1702" customFormat="1" ht="17.100000000000001" customHeight="1" thickBot="1">
      <c r="A2749" s="1831"/>
      <c r="B2749" s="1768" t="s">
        <v>807</v>
      </c>
      <c r="C2749" s="1839"/>
      <c r="D2749" s="1838" t="s">
        <v>50</v>
      </c>
      <c r="E2749" s="1818">
        <f>SUM(E2750)</f>
        <v>22000</v>
      </c>
      <c r="F2749" s="1818">
        <f>SUM(F2750)</f>
        <v>27000</v>
      </c>
      <c r="G2749" s="1817">
        <f>SUM(G2750)</f>
        <v>34000</v>
      </c>
      <c r="H2749" s="1763">
        <f t="shared" si="205"/>
        <v>1.2592592592592593</v>
      </c>
      <c r="J2749" s="1702" t="s">
        <v>975</v>
      </c>
    </row>
    <row r="2750" spans="1:10" s="1702" customFormat="1" ht="17.100000000000001" customHeight="1">
      <c r="A2750" s="1756"/>
      <c r="B2750" s="1831"/>
      <c r="C2750" s="4085" t="s">
        <v>944</v>
      </c>
      <c r="D2750" s="4085"/>
      <c r="E2750" s="1815">
        <f>SUM(E2751,E2759)</f>
        <v>22000</v>
      </c>
      <c r="F2750" s="1815">
        <f>SUM(F2751,F2759)</f>
        <v>27000</v>
      </c>
      <c r="G2750" s="1761">
        <f>SUM(G2751,G2759)</f>
        <v>34000</v>
      </c>
      <c r="H2750" s="1814">
        <f t="shared" si="205"/>
        <v>1.2592592592592593</v>
      </c>
    </row>
    <row r="2751" spans="1:10" s="1702" customFormat="1" ht="17.100000000000001" customHeight="1">
      <c r="A2751" s="1756"/>
      <c r="B2751" s="1831"/>
      <c r="C2751" s="4086" t="s">
        <v>967</v>
      </c>
      <c r="D2751" s="4086"/>
      <c r="E2751" s="1752">
        <f>SUM(E2755)</f>
        <v>15000</v>
      </c>
      <c r="F2751" s="1752">
        <f>SUM(F2755)</f>
        <v>20000</v>
      </c>
      <c r="G2751" s="1751">
        <f>SUM(G2755)</f>
        <v>27000</v>
      </c>
      <c r="H2751" s="1757">
        <f t="shared" si="205"/>
        <v>1.35</v>
      </c>
    </row>
    <row r="2752" spans="1:10" s="1702" customFormat="1" ht="17.100000000000001" hidden="1" customHeight="1">
      <c r="A2752" s="1756"/>
      <c r="B2752" s="1831"/>
      <c r="C2752" s="4100" t="s">
        <v>966</v>
      </c>
      <c r="D2752" s="4100"/>
      <c r="E2752" s="1752">
        <v>0</v>
      </c>
      <c r="F2752" s="1752">
        <v>0</v>
      </c>
      <c r="G2752" s="1751">
        <v>0</v>
      </c>
      <c r="H2752" s="1757" t="e">
        <f t="shared" si="205"/>
        <v>#DIV/0!</v>
      </c>
    </row>
    <row r="2753" spans="1:8" s="1702" customFormat="1" ht="17.100000000000001" hidden="1" customHeight="1">
      <c r="A2753" s="1756"/>
      <c r="B2753" s="1831"/>
      <c r="C2753" s="1862" t="s">
        <v>974</v>
      </c>
      <c r="D2753" s="1861" t="s">
        <v>973</v>
      </c>
      <c r="E2753" s="1850">
        <v>0</v>
      </c>
      <c r="F2753" s="1850">
        <v>0</v>
      </c>
      <c r="G2753" s="1849">
        <v>0</v>
      </c>
      <c r="H2753" s="1848" t="e">
        <f t="shared" si="205"/>
        <v>#DIV/0!</v>
      </c>
    </row>
    <row r="2754" spans="1:8" s="1702" customFormat="1" ht="17.100000000000001" hidden="1" customHeight="1">
      <c r="A2754" s="1756"/>
      <c r="B2754" s="1831"/>
      <c r="C2754" s="1860"/>
      <c r="D2754" s="1860"/>
      <c r="E2754" s="1850"/>
      <c r="F2754" s="1850"/>
      <c r="G2754" s="1849"/>
      <c r="H2754" s="1848" t="e">
        <f t="shared" si="205"/>
        <v>#DIV/0!</v>
      </c>
    </row>
    <row r="2755" spans="1:8" s="1702" customFormat="1" ht="17.100000000000001" customHeight="1">
      <c r="A2755" s="1756"/>
      <c r="B2755" s="1831"/>
      <c r="C2755" s="4105" t="s">
        <v>961</v>
      </c>
      <c r="D2755" s="4105"/>
      <c r="E2755" s="1859">
        <f>SUM(E2757)</f>
        <v>15000</v>
      </c>
      <c r="F2755" s="1859">
        <f>SUM(F2757)</f>
        <v>20000</v>
      </c>
      <c r="G2755" s="1858">
        <f>SUM(G2757)</f>
        <v>27000</v>
      </c>
      <c r="H2755" s="1857">
        <f t="shared" si="205"/>
        <v>1.35</v>
      </c>
    </row>
    <row r="2756" spans="1:8" s="1702" customFormat="1" ht="17.100000000000001" hidden="1" customHeight="1">
      <c r="A2756" s="1756"/>
      <c r="B2756" s="1831"/>
      <c r="C2756" s="1856" t="s">
        <v>613</v>
      </c>
      <c r="D2756" s="1855" t="s">
        <v>960</v>
      </c>
      <c r="E2756" s="1850">
        <v>0</v>
      </c>
      <c r="F2756" s="1850"/>
      <c r="G2756" s="1849"/>
      <c r="H2756" s="1848" t="e">
        <f t="shared" si="205"/>
        <v>#DIV/0!</v>
      </c>
    </row>
    <row r="2757" spans="1:8" s="1702" customFormat="1" ht="17.100000000000001" customHeight="1">
      <c r="A2757" s="1756"/>
      <c r="B2757" s="1831"/>
      <c r="C2757" s="1854" t="s">
        <v>959</v>
      </c>
      <c r="D2757" s="1852" t="s">
        <v>958</v>
      </c>
      <c r="E2757" s="1850">
        <v>15000</v>
      </c>
      <c r="F2757" s="1850">
        <v>20000</v>
      </c>
      <c r="G2757" s="1849">
        <v>27000</v>
      </c>
      <c r="H2757" s="1848">
        <f t="shared" si="205"/>
        <v>1.35</v>
      </c>
    </row>
    <row r="2758" spans="1:8" s="1702" customFormat="1" ht="17.100000000000001" customHeight="1">
      <c r="A2758" s="1756"/>
      <c r="B2758" s="1831"/>
      <c r="C2758" s="1853"/>
      <c r="D2758" s="1852"/>
      <c r="E2758" s="1851"/>
      <c r="F2758" s="1850"/>
      <c r="G2758" s="1849"/>
      <c r="H2758" s="1848"/>
    </row>
    <row r="2759" spans="1:8" s="1702" customFormat="1" ht="17.100000000000001" customHeight="1">
      <c r="A2759" s="1756"/>
      <c r="B2759" s="1831"/>
      <c r="C2759" s="4091" t="s">
        <v>943</v>
      </c>
      <c r="D2759" s="4092"/>
      <c r="E2759" s="1850">
        <f>SUM(E2760)</f>
        <v>7000</v>
      </c>
      <c r="F2759" s="1850">
        <f>SUM(F2760)</f>
        <v>7000</v>
      </c>
      <c r="G2759" s="1849">
        <f>SUM(G2760)</f>
        <v>7000</v>
      </c>
      <c r="H2759" s="1848">
        <f t="shared" ref="H2759:H2778" si="206">G2759/F2759</f>
        <v>1</v>
      </c>
    </row>
    <row r="2760" spans="1:8" s="1702" customFormat="1" ht="56.25" customHeight="1" thickBot="1">
      <c r="A2760" s="1743"/>
      <c r="B2760" s="1847"/>
      <c r="C2760" s="1846" t="s">
        <v>112</v>
      </c>
      <c r="D2760" s="1845" t="s">
        <v>956</v>
      </c>
      <c r="E2760" s="1739">
        <v>7000</v>
      </c>
      <c r="F2760" s="1739">
        <v>7000</v>
      </c>
      <c r="G2760" s="1738">
        <v>7000</v>
      </c>
      <c r="H2760" s="1708">
        <f t="shared" si="206"/>
        <v>1</v>
      </c>
    </row>
    <row r="2761" spans="1:8" ht="17.100000000000001" customHeight="1" thickBot="1">
      <c r="A2761" s="1844" t="s">
        <v>805</v>
      </c>
      <c r="B2761" s="1843"/>
      <c r="C2761" s="1842"/>
      <c r="D2761" s="1841" t="s">
        <v>972</v>
      </c>
      <c r="E2761" s="1737">
        <f>SUM(E2762,E2773,E2797)</f>
        <v>20800400</v>
      </c>
      <c r="F2761" s="1737">
        <f>SUM(F2762,F2773,F2797)</f>
        <v>20990400</v>
      </c>
      <c r="G2761" s="1736">
        <f>SUM(G2762,G2773,G2797)</f>
        <v>6342665</v>
      </c>
      <c r="H2761" s="1840">
        <f t="shared" si="206"/>
        <v>0.30216980143303607</v>
      </c>
    </row>
    <row r="2762" spans="1:8" ht="17.100000000000001" hidden="1" customHeight="1" thickBot="1">
      <c r="A2762" s="1823"/>
      <c r="B2762" s="1768" t="s">
        <v>971</v>
      </c>
      <c r="C2762" s="1839"/>
      <c r="D2762" s="1838" t="s">
        <v>970</v>
      </c>
      <c r="E2762" s="1765">
        <f>SUM(E2766)</f>
        <v>15000000</v>
      </c>
      <c r="F2762" s="1765">
        <f>SUM(F2766)</f>
        <v>15060000</v>
      </c>
      <c r="G2762" s="1764">
        <f>SUM(G2766)</f>
        <v>0</v>
      </c>
      <c r="H2762" s="1763">
        <f t="shared" si="206"/>
        <v>0</v>
      </c>
    </row>
    <row r="2763" spans="1:8" ht="17.100000000000001" hidden="1" customHeight="1" thickBot="1">
      <c r="A2763" s="1836"/>
      <c r="B2763" s="4084"/>
      <c r="C2763" s="4085" t="s">
        <v>944</v>
      </c>
      <c r="D2763" s="4085"/>
      <c r="E2763" s="1815">
        <v>0</v>
      </c>
      <c r="F2763" s="1815">
        <v>0</v>
      </c>
      <c r="G2763" s="1761">
        <v>0</v>
      </c>
      <c r="H2763" s="1837" t="e">
        <f t="shared" si="206"/>
        <v>#DIV/0!</v>
      </c>
    </row>
    <row r="2764" spans="1:8" ht="17.100000000000001" hidden="1" customHeight="1">
      <c r="A2764" s="1836"/>
      <c r="B2764" s="4084"/>
      <c r="C2764" s="4086" t="s">
        <v>943</v>
      </c>
      <c r="D2764" s="4086"/>
      <c r="E2764" s="1752">
        <v>0</v>
      </c>
      <c r="F2764" s="1752">
        <v>0</v>
      </c>
      <c r="G2764" s="1751">
        <v>0</v>
      </c>
      <c r="H2764" s="1757" t="e">
        <f t="shared" si="206"/>
        <v>#DIV/0!</v>
      </c>
    </row>
    <row r="2765" spans="1:8" ht="34.5" hidden="1" customHeight="1">
      <c r="A2765" s="1836"/>
      <c r="B2765" s="1755"/>
      <c r="C2765" s="1759" t="s">
        <v>91</v>
      </c>
      <c r="D2765" s="1758" t="s">
        <v>942</v>
      </c>
      <c r="E2765" s="1752">
        <v>0</v>
      </c>
      <c r="F2765" s="1752">
        <v>0</v>
      </c>
      <c r="G2765" s="1751">
        <v>0</v>
      </c>
      <c r="H2765" s="1757" t="e">
        <f t="shared" si="206"/>
        <v>#DIV/0!</v>
      </c>
    </row>
    <row r="2766" spans="1:8" ht="17.100000000000001" hidden="1" customHeight="1">
      <c r="A2766" s="1823"/>
      <c r="B2766" s="1831"/>
      <c r="C2766" s="4085" t="s">
        <v>941</v>
      </c>
      <c r="D2766" s="4093"/>
      <c r="E2766" s="1835">
        <f t="shared" ref="E2766:G2767" si="207">SUM(E2767)</f>
        <v>15000000</v>
      </c>
      <c r="F2766" s="1835">
        <f t="shared" si="207"/>
        <v>15060000</v>
      </c>
      <c r="G2766" s="1834">
        <f t="shared" si="207"/>
        <v>0</v>
      </c>
      <c r="H2766" s="1757">
        <f t="shared" si="206"/>
        <v>0</v>
      </c>
    </row>
    <row r="2767" spans="1:8" ht="17.100000000000001" hidden="1" customHeight="1">
      <c r="A2767" s="1823"/>
      <c r="B2767" s="1831"/>
      <c r="C2767" s="4089" t="s">
        <v>940</v>
      </c>
      <c r="D2767" s="4090"/>
      <c r="E2767" s="1833">
        <f t="shared" si="207"/>
        <v>15000000</v>
      </c>
      <c r="F2767" s="1833">
        <f t="shared" si="207"/>
        <v>15060000</v>
      </c>
      <c r="G2767" s="1832">
        <f t="shared" si="207"/>
        <v>0</v>
      </c>
      <c r="H2767" s="1757">
        <f t="shared" si="206"/>
        <v>0</v>
      </c>
    </row>
    <row r="2768" spans="1:8" ht="45.75" hidden="1" customHeight="1" thickBot="1">
      <c r="A2768" s="1823"/>
      <c r="B2768" s="1831"/>
      <c r="C2768" s="1772" t="s">
        <v>939</v>
      </c>
      <c r="D2768" s="1771" t="s">
        <v>938</v>
      </c>
      <c r="E2768" s="1830">
        <v>15000000</v>
      </c>
      <c r="F2768" s="1752">
        <v>15060000</v>
      </c>
      <c r="G2768" s="1751">
        <v>0</v>
      </c>
      <c r="H2768" s="1757">
        <f t="shared" si="206"/>
        <v>0</v>
      </c>
    </row>
    <row r="2769" spans="1:8" ht="17.100000000000001" hidden="1" customHeight="1" thickBot="1">
      <c r="A2769" s="1823"/>
      <c r="B2769" s="1829" t="s">
        <v>969</v>
      </c>
      <c r="C2769" s="1828"/>
      <c r="D2769" s="1827" t="s">
        <v>968</v>
      </c>
      <c r="E2769" s="1826">
        <v>0</v>
      </c>
      <c r="F2769" s="1801"/>
      <c r="G2769" s="1800"/>
      <c r="H2769" s="1799" t="e">
        <f t="shared" si="206"/>
        <v>#DIV/0!</v>
      </c>
    </row>
    <row r="2770" spans="1:8" ht="17.100000000000001" hidden="1" customHeight="1" thickBot="1">
      <c r="A2770" s="1823"/>
      <c r="B2770" s="1822"/>
      <c r="C2770" s="4094" t="s">
        <v>941</v>
      </c>
      <c r="D2770" s="4095"/>
      <c r="E2770" s="1825">
        <v>0</v>
      </c>
      <c r="F2770" s="1801"/>
      <c r="G2770" s="1800"/>
      <c r="H2770" s="1799" t="e">
        <f t="shared" si="206"/>
        <v>#DIV/0!</v>
      </c>
    </row>
    <row r="2771" spans="1:8" ht="17.100000000000001" hidden="1" customHeight="1" thickBot="1">
      <c r="A2771" s="1823"/>
      <c r="B2771" s="1822"/>
      <c r="C2771" s="4096" t="s">
        <v>940</v>
      </c>
      <c r="D2771" s="4097"/>
      <c r="E2771" s="1824">
        <v>0</v>
      </c>
      <c r="F2771" s="1801"/>
      <c r="G2771" s="1800"/>
      <c r="H2771" s="1799" t="e">
        <f t="shared" si="206"/>
        <v>#DIV/0!</v>
      </c>
    </row>
    <row r="2772" spans="1:8" ht="40.5" hidden="1" customHeight="1" thickBot="1">
      <c r="A2772" s="1823"/>
      <c r="B2772" s="1822"/>
      <c r="C2772" s="1821" t="s">
        <v>939</v>
      </c>
      <c r="D2772" s="1820" t="s">
        <v>938</v>
      </c>
      <c r="E2772" s="1819">
        <v>0</v>
      </c>
      <c r="F2772" s="1801"/>
      <c r="G2772" s="1800"/>
      <c r="H2772" s="1784" t="e">
        <f t="shared" si="206"/>
        <v>#DIV/0!</v>
      </c>
    </row>
    <row r="2773" spans="1:8" ht="17.100000000000001" customHeight="1" thickBot="1">
      <c r="A2773" s="1798"/>
      <c r="B2773" s="1768" t="s">
        <v>804</v>
      </c>
      <c r="C2773" s="1767"/>
      <c r="D2773" s="1766" t="s">
        <v>968</v>
      </c>
      <c r="E2773" s="1818">
        <f>SUM(E2774,E2793)</f>
        <v>5800400</v>
      </c>
      <c r="F2773" s="1818">
        <f>SUM(F2774,F2793)</f>
        <v>5846400</v>
      </c>
      <c r="G2773" s="1817">
        <f>SUM(G2774,G2793)</f>
        <v>6342665</v>
      </c>
      <c r="H2773" s="1763">
        <f t="shared" si="206"/>
        <v>1.0848838601532567</v>
      </c>
    </row>
    <row r="2774" spans="1:8" ht="17.100000000000001" customHeight="1">
      <c r="A2774" s="1798"/>
      <c r="B2774" s="1816"/>
      <c r="C2774" s="4098" t="s">
        <v>944</v>
      </c>
      <c r="D2774" s="4099"/>
      <c r="E2774" s="1815">
        <f>SUM(E2775,E2784,E2789)</f>
        <v>5800400</v>
      </c>
      <c r="F2774" s="1815">
        <f>SUM(F2775,F2784,F2789)</f>
        <v>5124400</v>
      </c>
      <c r="G2774" s="1761">
        <f>SUM(G2775,G2784,G2789)</f>
        <v>6092665</v>
      </c>
      <c r="H2774" s="1814">
        <f t="shared" si="206"/>
        <v>1.1889518772929513</v>
      </c>
    </row>
    <row r="2775" spans="1:8" ht="17.100000000000001" customHeight="1">
      <c r="A2775" s="1798"/>
      <c r="B2775" s="1773"/>
      <c r="C2775" s="4065" t="s">
        <v>967</v>
      </c>
      <c r="D2775" s="4066"/>
      <c r="E2775" s="1752">
        <f>SUM(E2776,E2780)</f>
        <v>101187</v>
      </c>
      <c r="F2775" s="1752">
        <f>SUM(F2776,F2780)</f>
        <v>135307</v>
      </c>
      <c r="G2775" s="1751">
        <f>SUM(G2776,G2780)</f>
        <v>216365</v>
      </c>
      <c r="H2775" s="1757">
        <f t="shared" si="206"/>
        <v>1.5990673061999749</v>
      </c>
    </row>
    <row r="2776" spans="1:8" ht="17.100000000000001" customHeight="1">
      <c r="A2776" s="1798"/>
      <c r="B2776" s="1773"/>
      <c r="C2776" s="4067" t="s">
        <v>966</v>
      </c>
      <c r="D2776" s="4068"/>
      <c r="E2776" s="1813">
        <f>SUM(E2777:E2778)</f>
        <v>10815</v>
      </c>
      <c r="F2776" s="1813">
        <f>SUM(F2777:F2778)</f>
        <v>10815</v>
      </c>
      <c r="G2776" s="1812">
        <f>SUM(G2777:G2778)</f>
        <v>12437</v>
      </c>
      <c r="H2776" s="1807">
        <f t="shared" si="206"/>
        <v>1.1499768839574664</v>
      </c>
    </row>
    <row r="2777" spans="1:8" ht="17.100000000000001" customHeight="1">
      <c r="A2777" s="1798"/>
      <c r="B2777" s="1773"/>
      <c r="C2777" s="1759" t="s">
        <v>965</v>
      </c>
      <c r="D2777" s="1758" t="s">
        <v>964</v>
      </c>
      <c r="E2777" s="1752">
        <v>9085</v>
      </c>
      <c r="F2777" s="1752">
        <v>9085</v>
      </c>
      <c r="G2777" s="1751">
        <v>10447</v>
      </c>
      <c r="H2777" s="1757">
        <f t="shared" si="206"/>
        <v>1.1499174463401212</v>
      </c>
    </row>
    <row r="2778" spans="1:8" ht="16.5" customHeight="1">
      <c r="A2778" s="1798"/>
      <c r="B2778" s="1773"/>
      <c r="C2778" s="1759" t="s">
        <v>963</v>
      </c>
      <c r="D2778" s="1758" t="s">
        <v>962</v>
      </c>
      <c r="E2778" s="1752">
        <v>1730</v>
      </c>
      <c r="F2778" s="1752">
        <v>1730</v>
      </c>
      <c r="G2778" s="1751">
        <v>1990</v>
      </c>
      <c r="H2778" s="1757">
        <f t="shared" si="206"/>
        <v>1.1502890173410405</v>
      </c>
    </row>
    <row r="2779" spans="1:8" ht="17.100000000000001" customHeight="1">
      <c r="A2779" s="1798"/>
      <c r="B2779" s="1773"/>
      <c r="C2779" s="1810"/>
      <c r="D2779" s="1811"/>
      <c r="E2779" s="1810"/>
      <c r="F2779" s="1752"/>
      <c r="G2779" s="1751"/>
      <c r="H2779" s="1757"/>
    </row>
    <row r="2780" spans="1:8" ht="17.100000000000001" customHeight="1">
      <c r="A2780" s="1798"/>
      <c r="B2780" s="1773"/>
      <c r="C2780" s="4069" t="s">
        <v>961</v>
      </c>
      <c r="D2780" s="4070"/>
      <c r="E2780" s="1809">
        <f>SUM(E2781:E2782)</f>
        <v>90372</v>
      </c>
      <c r="F2780" s="1809">
        <f>SUM(F2781:F2782)</f>
        <v>124492</v>
      </c>
      <c r="G2780" s="1808">
        <f>SUM(G2781:G2782)</f>
        <v>203928</v>
      </c>
      <c r="H2780" s="1807">
        <f>G2780/F2780</f>
        <v>1.6380811618417248</v>
      </c>
    </row>
    <row r="2781" spans="1:8" ht="17.100000000000001" customHeight="1">
      <c r="A2781" s="1798"/>
      <c r="B2781" s="1773"/>
      <c r="C2781" s="1759" t="s">
        <v>613</v>
      </c>
      <c r="D2781" s="1758" t="s">
        <v>960</v>
      </c>
      <c r="E2781" s="1752">
        <v>28366</v>
      </c>
      <c r="F2781" s="1752">
        <v>28366</v>
      </c>
      <c r="G2781" s="1751">
        <v>82621</v>
      </c>
      <c r="H2781" s="1757">
        <f>G2781/F2781</f>
        <v>2.9126771486991467</v>
      </c>
    </row>
    <row r="2782" spans="1:8" ht="17.100000000000001" customHeight="1">
      <c r="A2782" s="1798"/>
      <c r="B2782" s="1773"/>
      <c r="C2782" s="1797" t="s">
        <v>959</v>
      </c>
      <c r="D2782" s="1796" t="s">
        <v>958</v>
      </c>
      <c r="E2782" s="1752">
        <v>62006</v>
      </c>
      <c r="F2782" s="1752">
        <v>96126</v>
      </c>
      <c r="G2782" s="1751">
        <v>121307</v>
      </c>
      <c r="H2782" s="1757">
        <f>G2782/F2782</f>
        <v>1.2619582631129975</v>
      </c>
    </row>
    <row r="2783" spans="1:8" ht="17.100000000000001" customHeight="1">
      <c r="A2783" s="1806"/>
      <c r="B2783" s="1773"/>
      <c r="C2783" s="1804"/>
      <c r="D2783" s="1805"/>
      <c r="E2783" s="1804"/>
      <c r="F2783" s="1801"/>
      <c r="G2783" s="1800"/>
      <c r="H2783" s="1799"/>
    </row>
    <row r="2784" spans="1:8" ht="17.100000000000001" customHeight="1">
      <c r="A2784" s="1798"/>
      <c r="B2784" s="1773"/>
      <c r="C2784" s="4071" t="s">
        <v>957</v>
      </c>
      <c r="D2784" s="4072"/>
      <c r="E2784" s="1803">
        <f>SUM(E2785:E2787)</f>
        <v>4611871</v>
      </c>
      <c r="F2784" s="1803">
        <f>SUM(F2785:F2787)</f>
        <v>3901751</v>
      </c>
      <c r="G2784" s="1802">
        <f>SUM(G2785:G2787)</f>
        <v>4625857</v>
      </c>
      <c r="H2784" s="1717">
        <f>G2784/F2784</f>
        <v>1.1855848822746506</v>
      </c>
    </row>
    <row r="2785" spans="1:8" ht="54" customHeight="1">
      <c r="A2785" s="1798"/>
      <c r="B2785" s="1773"/>
      <c r="C2785" s="1759" t="s">
        <v>112</v>
      </c>
      <c r="D2785" s="1758" t="s">
        <v>956</v>
      </c>
      <c r="E2785" s="1752">
        <v>900000</v>
      </c>
      <c r="F2785" s="1752">
        <v>1013521</v>
      </c>
      <c r="G2785" s="1751">
        <v>1215000</v>
      </c>
      <c r="H2785" s="1757">
        <f>G2785/F2785</f>
        <v>1.1987911449294095</v>
      </c>
    </row>
    <row r="2786" spans="1:8" ht="41.25" hidden="1" customHeight="1">
      <c r="A2786" s="1798"/>
      <c r="B2786" s="1773"/>
      <c r="C2786" s="1797" t="s">
        <v>91</v>
      </c>
      <c r="D2786" s="1796" t="s">
        <v>955</v>
      </c>
      <c r="E2786" s="1752">
        <v>0</v>
      </c>
      <c r="F2786" s="1752">
        <v>24000</v>
      </c>
      <c r="G2786" s="1751">
        <v>0</v>
      </c>
      <c r="H2786" s="1757">
        <f>G2786/F2786</f>
        <v>0</v>
      </c>
    </row>
    <row r="2787" spans="1:8" ht="30" customHeight="1">
      <c r="A2787" s="1798"/>
      <c r="B2787" s="1773"/>
      <c r="C2787" s="1797" t="s">
        <v>954</v>
      </c>
      <c r="D2787" s="1796" t="s">
        <v>953</v>
      </c>
      <c r="E2787" s="1752">
        <v>3711871</v>
      </c>
      <c r="F2787" s="1752">
        <v>2864230</v>
      </c>
      <c r="G2787" s="1751">
        <v>3410857</v>
      </c>
      <c r="H2787" s="1757">
        <f>G2787/F2787</f>
        <v>1.1908460563572059</v>
      </c>
    </row>
    <row r="2788" spans="1:8" ht="17.100000000000001" customHeight="1">
      <c r="A2788" s="1798"/>
      <c r="B2788" s="1773"/>
      <c r="C2788" s="4073"/>
      <c r="D2788" s="4074"/>
      <c r="E2788" s="1801"/>
      <c r="F2788" s="1801"/>
      <c r="G2788" s="1800"/>
      <c r="H2788" s="1799"/>
    </row>
    <row r="2789" spans="1:8" ht="17.100000000000001" customHeight="1">
      <c r="A2789" s="1798"/>
      <c r="B2789" s="1773"/>
      <c r="C2789" s="4075" t="s">
        <v>952</v>
      </c>
      <c r="D2789" s="4076"/>
      <c r="E2789" s="1752">
        <f>SUM(E2790:E2791)</f>
        <v>1087342</v>
      </c>
      <c r="F2789" s="1752">
        <f>SUM(F2790:F2791)</f>
        <v>1087342</v>
      </c>
      <c r="G2789" s="1751">
        <f>SUM(G2790:G2791)</f>
        <v>1250443</v>
      </c>
      <c r="H2789" s="1757">
        <f>G2789/F2789</f>
        <v>1.1499997240978459</v>
      </c>
    </row>
    <row r="2790" spans="1:8" ht="17.100000000000001" customHeight="1">
      <c r="A2790" s="1798"/>
      <c r="B2790" s="1773"/>
      <c r="C2790" s="1797" t="s">
        <v>951</v>
      </c>
      <c r="D2790" s="1796" t="s">
        <v>950</v>
      </c>
      <c r="E2790" s="1770">
        <v>193354</v>
      </c>
      <c r="F2790" s="1752">
        <v>193042</v>
      </c>
      <c r="G2790" s="1751">
        <v>222357</v>
      </c>
      <c r="H2790" s="1757">
        <f>G2790/F2790</f>
        <v>1.1518581448596679</v>
      </c>
    </row>
    <row r="2791" spans="1:8" ht="17.100000000000001" customHeight="1" thickBot="1">
      <c r="A2791" s="1795"/>
      <c r="B2791" s="1794"/>
      <c r="C2791" s="1793" t="s">
        <v>949</v>
      </c>
      <c r="D2791" s="1792" t="s">
        <v>948</v>
      </c>
      <c r="E2791" s="1739">
        <v>893988</v>
      </c>
      <c r="F2791" s="1739">
        <v>894300</v>
      </c>
      <c r="G2791" s="1738">
        <v>1028086</v>
      </c>
      <c r="H2791" s="1757">
        <f>G2791/F2791</f>
        <v>1.14959856871296</v>
      </c>
    </row>
    <row r="2792" spans="1:8" ht="17.100000000000001" customHeight="1">
      <c r="A2792" s="1791"/>
      <c r="B2792" s="1790"/>
      <c r="C2792" s="1789"/>
      <c r="D2792" s="1788"/>
      <c r="E2792" s="1787"/>
      <c r="F2792" s="1786"/>
      <c r="G2792" s="1785"/>
      <c r="H2792" s="1784"/>
    </row>
    <row r="2793" spans="1:8" ht="17.100000000000001" customHeight="1">
      <c r="A2793" s="1774"/>
      <c r="B2793" s="1773"/>
      <c r="C2793" s="4077" t="s">
        <v>941</v>
      </c>
      <c r="D2793" s="4078"/>
      <c r="E2793" s="1783">
        <f>SUM(E2794)</f>
        <v>0</v>
      </c>
      <c r="F2793" s="1783">
        <f>SUM(F2794)</f>
        <v>722000</v>
      </c>
      <c r="G2793" s="1782">
        <f>SUM(G2794)</f>
        <v>250000</v>
      </c>
      <c r="H2793" s="1781">
        <f>G2793/F2793</f>
        <v>0.34626038781163437</v>
      </c>
    </row>
    <row r="2794" spans="1:8" ht="17.100000000000001" customHeight="1">
      <c r="A2794" s="1774"/>
      <c r="B2794" s="1773"/>
      <c r="C2794" s="4082" t="s">
        <v>940</v>
      </c>
      <c r="D2794" s="4083"/>
      <c r="E2794" s="1780">
        <f>SUM(E2796)</f>
        <v>0</v>
      </c>
      <c r="F2794" s="1780">
        <f>SUM(F2795:F2796)</f>
        <v>722000</v>
      </c>
      <c r="G2794" s="1779">
        <f>SUM(G2795:G2796)</f>
        <v>250000</v>
      </c>
      <c r="H2794" s="1717">
        <f>G2794/F2794</f>
        <v>0.34626038781163437</v>
      </c>
    </row>
    <row r="2795" spans="1:8" ht="54.75" customHeight="1" thickBot="1">
      <c r="A2795" s="1774"/>
      <c r="B2795" s="1773"/>
      <c r="C2795" s="1778" t="s">
        <v>947</v>
      </c>
      <c r="D2795" s="1777" t="s">
        <v>946</v>
      </c>
      <c r="E2795" s="1776"/>
      <c r="F2795" s="1776">
        <v>0</v>
      </c>
      <c r="G2795" s="1775">
        <v>250000</v>
      </c>
      <c r="H2795" s="1731"/>
    </row>
    <row r="2796" spans="1:8" ht="45" hidden="1" customHeight="1" thickBot="1">
      <c r="A2796" s="1774"/>
      <c r="B2796" s="1773"/>
      <c r="C2796" s="1772" t="s">
        <v>939</v>
      </c>
      <c r="D2796" s="1771" t="s">
        <v>938</v>
      </c>
      <c r="E2796" s="1770">
        <v>0</v>
      </c>
      <c r="F2796" s="1752">
        <v>722000</v>
      </c>
      <c r="G2796" s="1751">
        <v>0</v>
      </c>
      <c r="H2796" s="1769">
        <f>G2796/F2796</f>
        <v>0</v>
      </c>
    </row>
    <row r="2797" spans="1:8" s="1702" customFormat="1" ht="17.100000000000001" hidden="1" customHeight="1" thickBot="1">
      <c r="A2797" s="1747"/>
      <c r="B2797" s="1768" t="s">
        <v>945</v>
      </c>
      <c r="C2797" s="1767"/>
      <c r="D2797" s="1766" t="s">
        <v>50</v>
      </c>
      <c r="E2797" s="1765">
        <f>SUM(E2798,E2802)</f>
        <v>0</v>
      </c>
      <c r="F2797" s="1765">
        <f>SUM(F2798,F2802)</f>
        <v>84000</v>
      </c>
      <c r="G2797" s="1764">
        <f>SUM(G2798,G2802)</f>
        <v>0</v>
      </c>
      <c r="H2797" s="1763">
        <f>G2797/F2797</f>
        <v>0</v>
      </c>
    </row>
    <row r="2798" spans="1:8" s="1702" customFormat="1" ht="17.100000000000001" hidden="1" customHeight="1">
      <c r="A2798" s="1756"/>
      <c r="B2798" s="4084"/>
      <c r="C2798" s="4085" t="s">
        <v>944</v>
      </c>
      <c r="D2798" s="4085"/>
      <c r="E2798" s="1762">
        <f t="shared" ref="E2798:G2799" si="208">SUM(E2799)</f>
        <v>0</v>
      </c>
      <c r="F2798" s="1762">
        <f t="shared" si="208"/>
        <v>36000</v>
      </c>
      <c r="G2798" s="1761">
        <f t="shared" si="208"/>
        <v>0</v>
      </c>
      <c r="H2798" s="1760">
        <f>G2798/F2798</f>
        <v>0</v>
      </c>
    </row>
    <row r="2799" spans="1:8" s="1702" customFormat="1" ht="17.100000000000001" hidden="1" customHeight="1">
      <c r="A2799" s="1756"/>
      <c r="B2799" s="4084"/>
      <c r="C2799" s="4086" t="s">
        <v>943</v>
      </c>
      <c r="D2799" s="4086"/>
      <c r="E2799" s="1752">
        <f t="shared" si="208"/>
        <v>0</v>
      </c>
      <c r="F2799" s="1752">
        <f t="shared" si="208"/>
        <v>36000</v>
      </c>
      <c r="G2799" s="1751">
        <f t="shared" si="208"/>
        <v>0</v>
      </c>
      <c r="H2799" s="1717">
        <f>G2799/F2799</f>
        <v>0</v>
      </c>
    </row>
    <row r="2800" spans="1:8" s="1702" customFormat="1" ht="41.25" hidden="1" customHeight="1">
      <c r="A2800" s="1756"/>
      <c r="B2800" s="1755"/>
      <c r="C2800" s="1759" t="s">
        <v>91</v>
      </c>
      <c r="D2800" s="1758" t="s">
        <v>942</v>
      </c>
      <c r="E2800" s="1752">
        <v>0</v>
      </c>
      <c r="F2800" s="1752">
        <v>36000</v>
      </c>
      <c r="G2800" s="1751">
        <v>0</v>
      </c>
      <c r="H2800" s="1757">
        <f>G2800/F2800</f>
        <v>0</v>
      </c>
    </row>
    <row r="2801" spans="1:8" s="1702" customFormat="1" ht="16.5" hidden="1" customHeight="1">
      <c r="A2801" s="1756"/>
      <c r="B2801" s="1755"/>
      <c r="C2801" s="1754"/>
      <c r="D2801" s="1753"/>
      <c r="E2801" s="1752"/>
      <c r="F2801" s="1752"/>
      <c r="G2801" s="1751"/>
      <c r="H2801" s="1717"/>
    </row>
    <row r="2802" spans="1:8" s="1702" customFormat="1" ht="17.100000000000001" hidden="1" customHeight="1">
      <c r="A2802" s="1747"/>
      <c r="B2802" s="1746"/>
      <c r="C2802" s="4087" t="s">
        <v>941</v>
      </c>
      <c r="D2802" s="4088"/>
      <c r="E2802" s="1750">
        <f t="shared" ref="E2802:G2803" si="209">SUM(E2803)</f>
        <v>0</v>
      </c>
      <c r="F2802" s="1750">
        <f t="shared" si="209"/>
        <v>48000</v>
      </c>
      <c r="G2802" s="1749">
        <f t="shared" si="209"/>
        <v>0</v>
      </c>
      <c r="H2802" s="1748">
        <f>G2802/F2802</f>
        <v>0</v>
      </c>
    </row>
    <row r="2803" spans="1:8" s="1702" customFormat="1" ht="17.100000000000001" hidden="1" customHeight="1">
      <c r="A2803" s="1747"/>
      <c r="B2803" s="1746"/>
      <c r="C2803" s="4089" t="s">
        <v>940</v>
      </c>
      <c r="D2803" s="4090"/>
      <c r="E2803" s="1745">
        <f t="shared" si="209"/>
        <v>0</v>
      </c>
      <c r="F2803" s="1745">
        <f t="shared" si="209"/>
        <v>48000</v>
      </c>
      <c r="G2803" s="1744">
        <f t="shared" si="209"/>
        <v>0</v>
      </c>
      <c r="H2803" s="1717">
        <f>G2803/F2803</f>
        <v>0</v>
      </c>
    </row>
    <row r="2804" spans="1:8" s="1702" customFormat="1" ht="45" hidden="1" customHeight="1" thickBot="1">
      <c r="A2804" s="1743"/>
      <c r="B2804" s="1742"/>
      <c r="C2804" s="1741" t="s">
        <v>939</v>
      </c>
      <c r="D2804" s="1740" t="s">
        <v>938</v>
      </c>
      <c r="E2804" s="1739">
        <v>0</v>
      </c>
      <c r="F2804" s="1739">
        <v>48000</v>
      </c>
      <c r="G2804" s="1738">
        <v>0</v>
      </c>
      <c r="H2804" s="1708">
        <f>G2804/F2804</f>
        <v>0</v>
      </c>
    </row>
    <row r="2805" spans="1:8" ht="17.100000000000001" customHeight="1" thickBot="1">
      <c r="A2805" s="4054" t="s">
        <v>937</v>
      </c>
      <c r="B2805" s="4055"/>
      <c r="C2805" s="4055"/>
      <c r="D2805" s="4056"/>
      <c r="E2805" s="1737">
        <f>SUM(E9,E184,E217,E249,E459,E541,E580,E672,E716,E792,E1197,E1205,E1263,E1272,E1282,E1690,E1817,E2101,E2238,E2323,E2421,E2530,E2706,E2761)</f>
        <v>1561909219</v>
      </c>
      <c r="F2805" s="1737">
        <f>SUM(F9,F184,F217,F249,F459,F541,F580,F672,F716,F792,F1197,F1205,F1263,F1272,F1282,F1690,F1817,F2101,F2238,F2323,F2421,F2530,F2706,F2761)</f>
        <v>1713507702</v>
      </c>
      <c r="G2805" s="1736">
        <f>SUM(G9,G184,G217,G249,G459,G541,G580,G672,G716,G792,G1197,G1205,G1263,G1272,G1282,G1690,G1817,G2101,G2238,G2323,G2421,G2530,G2706,G2761)</f>
        <v>2057777047</v>
      </c>
      <c r="H2805" s="1735">
        <f>G2805/F2805</f>
        <v>1.2009149679328375</v>
      </c>
    </row>
    <row r="2806" spans="1:8" ht="15.75" customHeight="1" thickBot="1">
      <c r="A2806" s="4057"/>
      <c r="B2806" s="4058"/>
      <c r="C2806" s="4058"/>
      <c r="D2806" s="4058"/>
      <c r="E2806" s="1734"/>
      <c r="F2806" s="1733"/>
      <c r="G2806" s="1732"/>
      <c r="H2806" s="1731"/>
    </row>
    <row r="2807" spans="1:8" ht="17.100000000000001" customHeight="1" thickBot="1">
      <c r="A2807" s="4059" t="s">
        <v>412</v>
      </c>
      <c r="B2807" s="4060"/>
      <c r="C2807" s="4060"/>
      <c r="D2807" s="4061"/>
      <c r="E2807" s="1730"/>
      <c r="F2807" s="1729"/>
      <c r="G2807" s="1728"/>
      <c r="H2807" s="1727"/>
    </row>
    <row r="2808" spans="1:8" ht="17.25" customHeight="1" thickBot="1">
      <c r="A2808" s="4062" t="s">
        <v>936</v>
      </c>
      <c r="B2808" s="4063"/>
      <c r="C2808" s="4063"/>
      <c r="D2808" s="4064"/>
      <c r="E2808" s="1723">
        <f>E2809+E2812+E2813+E2814+E2815+E2816</f>
        <v>768767860</v>
      </c>
      <c r="F2808" s="1723">
        <f>F2809+F2812+F2813+F2814+F2815+F2816</f>
        <v>841316888</v>
      </c>
      <c r="G2808" s="1722">
        <f>G2809+G2812+G2813+G2814+G2815+G2816</f>
        <v>912624235</v>
      </c>
      <c r="H2808" s="1721">
        <f t="shared" ref="H2808:H2820" si="210">G2808/F2808</f>
        <v>1.0847568235192731</v>
      </c>
    </row>
    <row r="2809" spans="1:8" ht="17.100000000000001" customHeight="1">
      <c r="A2809" s="4079" t="s">
        <v>935</v>
      </c>
      <c r="B2809" s="4080"/>
      <c r="C2809" s="4080"/>
      <c r="D2809" s="4080"/>
      <c r="E2809" s="1720">
        <f>E2810+E2811</f>
        <v>355833179</v>
      </c>
      <c r="F2809" s="1720">
        <f>F2810+F2811</f>
        <v>390667120</v>
      </c>
      <c r="G2809" s="1718">
        <f>G2810+G2811</f>
        <v>433407048</v>
      </c>
      <c r="H2809" s="1717">
        <f t="shared" si="210"/>
        <v>1.1094024191234726</v>
      </c>
    </row>
    <row r="2810" spans="1:8" ht="19.5" customHeight="1">
      <c r="A2810" s="4081" t="s">
        <v>934</v>
      </c>
      <c r="B2810" s="4037"/>
      <c r="C2810" s="4037"/>
      <c r="D2810" s="4037"/>
      <c r="E2810" s="1716">
        <f>E13+E50+E75+E329+E584+E624+E796+E814+E833+E944+E955+E1043+E1062+E1294+E1337+E1359+E1379+E1441+E1528+E1614+E1782+E1793+E1836+E2116+E2242+E2289+E2384+E2463+E2656+E2714+E2776+E1582+E163+E438+E498+E1028+E2425+E2478+E2489+E2500+E2511</f>
        <v>167665717</v>
      </c>
      <c r="F2810" s="1716">
        <f>F13+F50+F75+F329+F584+F624+F796+F814+F833+F944+F955+F1043+F1062+F1294+F1337+F1359+F1379+F1441+F1528+F1614+F1782+F1793+F1836+F2116+F2242+F2289+F2384+F2463+F2656+F2714+F2776+F1582+F163+F438+F498+F1028+F2425+F2478+F2489+F2500+F2511</f>
        <v>170912130</v>
      </c>
      <c r="G2810" s="1715">
        <f>G13+G50+G75+G329+G584+G624+G796+G814+G833+G944+G955+G1043+G1062+G1294+G1337+G1359+G1379+G1441+G1528+G1614+G1782+G1793+G1836+G2116+G2242+G2289+G2384+G2463+G2656+G2714+G2776+G1582+G163+G438+G498+G1028+G2425+G2478+G2489+G2500+G2511</f>
        <v>199679204</v>
      </c>
      <c r="H2810" s="1714">
        <f t="shared" si="210"/>
        <v>1.1683149932073282</v>
      </c>
    </row>
    <row r="2811" spans="1:8" ht="18.75" customHeight="1">
      <c r="A2811" s="4036" t="s">
        <v>933</v>
      </c>
      <c r="B2811" s="4037"/>
      <c r="C2811" s="4037"/>
      <c r="D2811" s="4037"/>
      <c r="E2811" s="1716">
        <f>E21+E57+E81+E143+E170+E253+E320+E337+E426+E445+E463+E506+E545+E592+E632+E676+E804+E817+E841+E949+E960+E1049+E1070+E1276+E1304+E1343+E1368+E1389+E1451+E1538+E1622+E1667+E1679+E1714+E1742+E1754+E1763+E1777+E1788+E1796+E1844+E2298+E2124+E2251+E2327+E2392+E2414+E2439+E2468+E2483+E2494+E2505+E2517+E2534+E2661+E2722+E2755+E2780+E1588+E278+E1031+E2639+E1201+E1694+E2449+E1354+E733+E308+E724+E1243+E1999+E1821+E2009</f>
        <v>188167462</v>
      </c>
      <c r="F2811" s="1716">
        <f>F21+F57+F81+F143+F170+F253+F320+F337+F426+F445+F463+F506+F545+F592+F632+F676+F804+F817+F841+F949+F960+F1049+F1070+F1276+F1304+F1343+F1368+F1389+F1451+F1538+F1622+F1667+F1679+F1714+F1742+F1754+F1763+F1777+F1788+F1796+F1844+F2298+F2124+F2251+F2327+F2392+F2414+F2439+F2468+F2483+F2494+F2505+F2517+F2534+F2661+F2722+F2755+F2780+F1588+F278+F1031+F2639+F1201+F1694+F2449+F1354+F733+F308+F724+F1243+F1999+F1821+F2009+F2607</f>
        <v>219754990</v>
      </c>
      <c r="G2811" s="1715">
        <f>G21+G57+G81+G143+G170+G253+G320+G337+G426+G445+G463+G506+G545+G592+G632+G676+G804+G817+G841+G949+G960+G1049+G1070+G1276+G1304+G1343+G1368+G1389+G1451+G1538+G1622+G1667+G1679+G1714+G1742+G1754+G1763+G1777+G1788+G1796+G1844+G2298+G2124+G2251+G2327+G2392+G2414+G2439+G2468+G2483+G2494+G2505+G2517+G2534+G2661+G2722+G2755+G2780+G1588+G278+G1031+G2639+G1201+G1694+G2449+G1354+G733+G308+G724+G1243+G1999+G1821+G2009</f>
        <v>233727844</v>
      </c>
      <c r="H2811" s="1714">
        <f t="shared" si="210"/>
        <v>1.0635837848323717</v>
      </c>
    </row>
    <row r="2812" spans="1:8" ht="17.100000000000001" customHeight="1">
      <c r="A2812" s="4038" t="s">
        <v>932</v>
      </c>
      <c r="B2812" s="4039"/>
      <c r="C2812" s="4039"/>
      <c r="D2812" s="4039"/>
      <c r="E2812" s="1713">
        <f>E147+E181+E220+E259+E311+E323+E400+E469+E808+E970+E1086+E1235+E1285+E1630+E1697+E1717+E1247+E1745+E1758+E1768+E1824+E1867+E2015+E2104+E2206+E2332+E2417+E2444+E2537+E2551+E2560+E2569+E2588+E2598+E2611+E2623+E2642+E2784+E515+E559+E719+E1227+E1215+E1409+E1682+E1733+E1976+E1980+E2431+E2523+E2665+E2759+E1208+E736+E572+E662+E939+E1799+E429+E450+E2317+E1725+E1828+E1994+E1261+E1329+E2764+E2799+E619+E669+E417</f>
        <v>266880511</v>
      </c>
      <c r="F2812" s="1713">
        <f>F147+F181+F220+F259+F311+F323+F400+F469+F808+F970+F1086+F1235+F1285+F1630+F1697+F1717+F1247+F1745+F1758+F1768+F1824+F1867+F2015+F2104+F2206+F2332+F2417+F2444+F2537+F2551+F2560+F2569+F2588+F2598+F2611+F2623+F2642+F2784+F515+F559+F719+F1227+F1215+F1409+F1682+F1733+F1976+F1980+F2431+F2523+F2665+F2759+F1208+F736+F572+F662+F939+F1799+F429+F450+F2317+F1725+F1828+F1994+F1261+F1329+F2764+F2799+F619+F669+F417</f>
        <v>297905480</v>
      </c>
      <c r="G2812" s="1712">
        <f>G147+G181+G220+G259+G311+G323+G400+G469+G808+G970+G1086+G1235+G1285+G1630+G1697+G1717+G1247+G1745+G1758+G1768+G1824+G1867+G2015+G2104+G2206+G2332+G2417+G2444+G2537+G2551+G2560+G2569+G2588+G2598+G2611+G2623+G2642+G2784+G515+G559+G719+G1227+G1215+G1409+G1682+G1733+G1976+G1980+G2431+G2523+G2665+G2759+G1208+G736+G572+G662+G939+G1799+G429+G450+G2317+G1725+G1828+G1994+G1261+G1329+G2764+G2799+G619+G669+G417</f>
        <v>320461814</v>
      </c>
      <c r="H2812" s="1711">
        <f t="shared" si="210"/>
        <v>1.0757164117961173</v>
      </c>
    </row>
    <row r="2813" spans="1:8" ht="17.100000000000001" customHeight="1">
      <c r="A2813" s="4038" t="s">
        <v>931</v>
      </c>
      <c r="B2813" s="4039"/>
      <c r="C2813" s="4039"/>
      <c r="D2813" s="4039"/>
      <c r="E2813" s="1713">
        <f>E42+E70+E93+E363+E612+E648+E825+E867+E1092+E1322+E1350+E1375+E1412+E1466+E1558+E1639+E1640+E1641+E1675+E1870+E2146+E2147+E2261+E2410+E2542+E2543+E2741+E2790+E2791+E1057+E2647+E728+E2309</f>
        <v>4334574</v>
      </c>
      <c r="F2813" s="1713">
        <f>F42+F70+F93+F363+F612+F648+F825+F866+F1092+F1322+F1350+F1375+F1412+F1466+F1558+F1639+F1640+F1641+F1675+F1870+F2146+F2147+F2261+F2410+F2542+F2543+F2741+F2790+F2791+F1057+F2647+F728+F2309</f>
        <v>4809405</v>
      </c>
      <c r="G2813" s="1712">
        <f>G42+G70+G93+G363+G612+G648+G825+G867+G1092+G1322+G1350+G1375+G1412+G1466+G1558+G1639+G1640+G1641+G1675+G1870+G2146+G2147+G2261+G2410+G2542+G2543+G2741+G2790+G2791+G1057+G2647+G728+G2309</f>
        <v>4920239</v>
      </c>
      <c r="H2813" s="1711">
        <f t="shared" si="210"/>
        <v>1.0230452623557384</v>
      </c>
    </row>
    <row r="2814" spans="1:8" ht="15.75" customHeight="1">
      <c r="A2814" s="4040" t="s">
        <v>930</v>
      </c>
      <c r="B2814" s="4039"/>
      <c r="C2814" s="4039"/>
      <c r="D2814" s="4039"/>
      <c r="E2814" s="1713">
        <f>E104+E187+E226+E742+E870+E974+E1094+E1416+E1468+E1560+E2023+E2149+E2264+E2335+E2454+E2670+E650+E1671+E1803+E2214+E1643+E2745+E472+E365+E690+E518+E2352+E282+E1594</f>
        <v>122971950</v>
      </c>
      <c r="F2814" s="1713">
        <f>F104+F187+F226+F742+F870+F974+F1094+F1416+F1468+F1560+F2023+F2149+F2264+F2335+F2454+F2670+F650+F1671+F1803+F2214+F1643+F2745+F472+F365+F690+F518+F2352+F282+F1594</f>
        <v>129187237</v>
      </c>
      <c r="G2814" s="1712">
        <f>G104+G187+G226+G742+G870+G974+G1094+G1416+G1468+G1560+G1916+G2023+G2149+G2264+G2335+G2454+G2670+G650+G1671+G1803+G2214+G1643+G2745+G472+G365+G690+G518+G2352+G282+G1594</f>
        <v>125248109</v>
      </c>
      <c r="H2814" s="1711">
        <f t="shared" si="210"/>
        <v>0.96950838107947146</v>
      </c>
    </row>
    <row r="2815" spans="1:8" ht="17.100000000000001" customHeight="1">
      <c r="A2815" s="4038" t="s">
        <v>929</v>
      </c>
      <c r="B2815" s="4039"/>
      <c r="C2815" s="4039"/>
      <c r="D2815" s="4039"/>
      <c r="E2815" s="1713">
        <f>E1271</f>
        <v>10995038</v>
      </c>
      <c r="F2815" s="1713">
        <f>F1271</f>
        <v>10995038</v>
      </c>
      <c r="G2815" s="1712">
        <f>G1271</f>
        <v>16085733</v>
      </c>
      <c r="H2815" s="1711">
        <f t="shared" si="210"/>
        <v>1.4629993093248064</v>
      </c>
    </row>
    <row r="2816" spans="1:8" ht="17.100000000000001" customHeight="1" thickBot="1">
      <c r="A2816" s="4041" t="s">
        <v>928</v>
      </c>
      <c r="B2816" s="4042"/>
      <c r="C2816" s="4042"/>
      <c r="D2816" s="4042"/>
      <c r="E2816" s="1726">
        <f>E1267</f>
        <v>7752608</v>
      </c>
      <c r="F2816" s="1726">
        <f>F1267</f>
        <v>7752608</v>
      </c>
      <c r="G2816" s="1725">
        <f>G1267</f>
        <v>12501292</v>
      </c>
      <c r="H2816" s="1724">
        <f t="shared" si="210"/>
        <v>1.6125272940409214</v>
      </c>
    </row>
    <row r="2817" spans="1:143" ht="15.75" customHeight="1" thickBot="1">
      <c r="A2817" s="4044" t="s">
        <v>927</v>
      </c>
      <c r="B2817" s="4045"/>
      <c r="C2817" s="4045"/>
      <c r="D2817" s="4045"/>
      <c r="E2817" s="1723">
        <f>E2818+E2820+E2821</f>
        <v>793141359</v>
      </c>
      <c r="F2817" s="1723">
        <f>F2818+F2820+F2821</f>
        <v>872190814</v>
      </c>
      <c r="G2817" s="1722">
        <f>G2818+G2820+G2821</f>
        <v>1145152812</v>
      </c>
      <c r="H2817" s="1721">
        <f t="shared" si="210"/>
        <v>1.312961330959397</v>
      </c>
    </row>
    <row r="2818" spans="1:143" ht="17.100000000000001" customHeight="1">
      <c r="A2818" s="4046" t="s">
        <v>926</v>
      </c>
      <c r="B2818" s="4047"/>
      <c r="C2818" s="4047"/>
      <c r="D2818" s="4048"/>
      <c r="E2818" s="1720">
        <f>E45+E96+E152+E242+E265+E369+E404+E408+E697+E917+E1013+E1161+E1211+E1219+E1223+E1255+E1280+E1435+E1516+E1657+E1702+E1721+E1729+E1737+E1810+E1985+E2089+E2195+E2313+E2556+E2575+E2594+E2603+E2629+E2693+E2473+E782+E2618+E1325+E1567+E615+E286+E828+E158+E412+E432+E454+E493+E538+E563+E576+E1038+E1231+E1289+E1831+E2111+E2235+E2321+E2458+E2767+E2803+E2527+E1749+E1990+E1687+E666+E1332+E2794+E420+E2709+E2372+E2651+E1238+E1874+E1772+E658+E2546+E2565+E2771+E2004+E2434</f>
        <v>793141359</v>
      </c>
      <c r="F2818" s="1719">
        <f>F45+F96+F152+F242+F265+F369+F404+F408+F697+F917+F1013+F1161+F1211+F1219+F1223+F1255+F1280+F1435+F1516+F1608+F1657+F1702+F1721+F1729+F1737+F1810+F1985+F2089+F2195+F2313+F2556+F2575+F2594+F2603+F2629+F2693+F2473+F782+F2618+F1325+F1567+F615+F286+F828+F158+F412+F432+F454+F493+F538+F563+F576+F1038+F1231+F1289+F1831+F2111+F2235+F2321+F2458+F2767+F2803+F2527+F1749+F1990+F1687+F666+F1332+F2794+F420+F2709+F2372+F2651+F1238+F1874+F1772+F658+F2546+F2565+F2771+F2004+F2434</f>
        <v>864190714</v>
      </c>
      <c r="G2818" s="1718">
        <f>G45+G96+G152+G242+G265+G369+G404+G408+G697+G917+G1013+G1161+G1211+G1219+G1223+G1255+G1280+G1435+G1516+G1608+G1657+G1702+G1721+G1729+G1737+G1810+G1985+G2089+G2195+G2313+G2556+G2575+G2594+G2603+G2629+G2693+G2473+G782+G2618+G1325+G1567+G615+G286+G828+G158+G412+G432+G454+G493+G538+G563+G576+G1038+G1231+G1289+G1831+G2111+G2235+G2321+G2458+G2767+G2803+G2527+G1749+G1990+G1687+G666+G1332+G2794+G420+G2709+G2372+G2651+G1238+G1874+G1772+G658+G2546+G2565+G2771+G2004+G2434</f>
        <v>1145152812</v>
      </c>
      <c r="H2818" s="1717">
        <f t="shared" si="210"/>
        <v>1.3251158493702584</v>
      </c>
    </row>
    <row r="2819" spans="1:143" ht="18" customHeight="1">
      <c r="A2819" s="4036" t="s">
        <v>925</v>
      </c>
      <c r="B2819" s="4037"/>
      <c r="C2819" s="4037"/>
      <c r="D2819" s="4049"/>
      <c r="E2819" s="1716">
        <f>E100+E271+E386+E708+E927+E1020+E1182+E2201+E2701+E788+E1522+E296+E1574+E2583+E2377+E1814+E2096+E2634</f>
        <v>378222843</v>
      </c>
      <c r="F2819" s="1716">
        <f>F100+F271+F386+F708+F927+F1020+F1182+F2201+F2701+F788+F1522+F296+F1574+F2583+F2377+F1814+F2096+F2634</f>
        <v>438835015</v>
      </c>
      <c r="G2819" s="1715">
        <f>G100+G271+G386+G708+G927+G1020+G1182+G2201+G2701+G788+G1522+G296+G1574+G2583+G2377+G1814+G2096+G2634</f>
        <v>602628361</v>
      </c>
      <c r="H2819" s="1714">
        <f t="shared" si="210"/>
        <v>1.3732458450244678</v>
      </c>
    </row>
    <row r="2820" spans="1:143" ht="17.100000000000001" customHeight="1">
      <c r="A2820" s="4038" t="s">
        <v>924</v>
      </c>
      <c r="B2820" s="4039"/>
      <c r="C2820" s="4039"/>
      <c r="D2820" s="4050"/>
      <c r="E2820" s="1713">
        <f>E1179+E1709+E457</f>
        <v>0</v>
      </c>
      <c r="F2820" s="1713">
        <f>F1179+F1709+F457</f>
        <v>8000100</v>
      </c>
      <c r="G2820" s="1712">
        <f>G1179+G1709+G457</f>
        <v>0</v>
      </c>
      <c r="H2820" s="1711">
        <f t="shared" si="210"/>
        <v>0</v>
      </c>
    </row>
    <row r="2821" spans="1:143" ht="17.100000000000001" customHeight="1" thickBot="1">
      <c r="A2821" s="4051" t="s">
        <v>923</v>
      </c>
      <c r="B2821" s="4052"/>
      <c r="C2821" s="4052"/>
      <c r="D2821" s="4053"/>
      <c r="E2821" s="1710">
        <v>0</v>
      </c>
      <c r="F2821" s="1710">
        <v>0</v>
      </c>
      <c r="G2821" s="1709">
        <v>0</v>
      </c>
      <c r="H2821" s="1708"/>
    </row>
    <row r="2822" spans="1:143" ht="17.100000000000001" hidden="1" customHeight="1">
      <c r="A2822" s="1705"/>
      <c r="B2822" s="1705"/>
      <c r="C2822" s="1705"/>
      <c r="D2822" s="1705"/>
      <c r="E2822" s="1707">
        <f>E2805</f>
        <v>1561909219</v>
      </c>
      <c r="F2822" s="1707">
        <f>F2805</f>
        <v>1713507702</v>
      </c>
      <c r="G2822" s="1707">
        <f>G2805</f>
        <v>2057777047</v>
      </c>
    </row>
    <row r="2823" spans="1:143" s="1703" customFormat="1" ht="17.100000000000001" hidden="1" customHeight="1">
      <c r="A2823" s="1705"/>
      <c r="B2823" s="1705"/>
      <c r="C2823" s="1705"/>
      <c r="D2823" s="1705"/>
      <c r="E2823" s="1706">
        <f>E2822-E2808-E2817</f>
        <v>0</v>
      </c>
      <c r="F2823" s="1707">
        <f>F2822-F2808-F2817</f>
        <v>0</v>
      </c>
      <c r="G2823" s="1707">
        <f>G2822-G2808-G2817</f>
        <v>0</v>
      </c>
      <c r="I2823" s="1701"/>
      <c r="J2823" s="1702"/>
      <c r="K2823" s="1701"/>
      <c r="L2823" s="1701"/>
      <c r="M2823" s="1701"/>
      <c r="N2823" s="1701"/>
      <c r="O2823" s="1701"/>
      <c r="P2823" s="1701"/>
      <c r="Q2823" s="1701"/>
      <c r="R2823" s="1701"/>
      <c r="S2823" s="1701"/>
      <c r="T2823" s="1701"/>
      <c r="U2823" s="1701"/>
      <c r="V2823" s="1701"/>
      <c r="W2823" s="1701"/>
      <c r="X2823" s="1701"/>
      <c r="Y2823" s="1701"/>
      <c r="Z2823" s="1701"/>
      <c r="AA2823" s="1701"/>
      <c r="AB2823" s="1701"/>
      <c r="AC2823" s="1701"/>
      <c r="AD2823" s="1701"/>
      <c r="AE2823" s="1701"/>
      <c r="AF2823" s="1701"/>
      <c r="AG2823" s="1701"/>
      <c r="AH2823" s="1701"/>
      <c r="AI2823" s="1701"/>
      <c r="AJ2823" s="1701"/>
      <c r="AK2823" s="1701"/>
      <c r="AL2823" s="1701"/>
      <c r="AM2823" s="1701"/>
      <c r="AN2823" s="1701"/>
      <c r="AO2823" s="1701"/>
      <c r="AP2823" s="1701"/>
      <c r="AQ2823" s="1701"/>
      <c r="AR2823" s="1701"/>
      <c r="AS2823" s="1701"/>
      <c r="AT2823" s="1701"/>
      <c r="AU2823" s="1701"/>
      <c r="AV2823" s="1701"/>
      <c r="AW2823" s="1701"/>
      <c r="AX2823" s="1701"/>
      <c r="AY2823" s="1701"/>
      <c r="AZ2823" s="1701"/>
      <c r="BA2823" s="1701"/>
      <c r="BB2823" s="1701"/>
      <c r="BC2823" s="1701"/>
      <c r="BD2823" s="1701"/>
      <c r="BE2823" s="1701"/>
      <c r="BF2823" s="1701"/>
      <c r="BG2823" s="1701"/>
      <c r="BH2823" s="1701"/>
      <c r="BI2823" s="1701"/>
      <c r="BJ2823" s="1701"/>
      <c r="BK2823" s="1701"/>
      <c r="BL2823" s="1701"/>
      <c r="BM2823" s="1701"/>
      <c r="BN2823" s="1701"/>
      <c r="BO2823" s="1701"/>
      <c r="BP2823" s="1701"/>
      <c r="BQ2823" s="1701"/>
      <c r="BR2823" s="1701"/>
      <c r="BS2823" s="1701"/>
      <c r="BT2823" s="1701"/>
      <c r="BU2823" s="1701"/>
      <c r="BV2823" s="1701"/>
      <c r="BW2823" s="1701"/>
      <c r="BX2823" s="1701"/>
      <c r="BY2823" s="1701"/>
      <c r="BZ2823" s="1701"/>
      <c r="CA2823" s="1701"/>
      <c r="CB2823" s="1701"/>
      <c r="CC2823" s="1701"/>
      <c r="CD2823" s="1701"/>
      <c r="CE2823" s="1701"/>
      <c r="CF2823" s="1701"/>
      <c r="CG2823" s="1701"/>
      <c r="CH2823" s="1701"/>
      <c r="CI2823" s="1701"/>
      <c r="CJ2823" s="1701"/>
      <c r="CK2823" s="1701"/>
      <c r="CL2823" s="1701"/>
      <c r="CM2823" s="1701"/>
      <c r="CN2823" s="1701"/>
      <c r="CO2823" s="1701"/>
      <c r="CP2823" s="1701"/>
      <c r="CQ2823" s="1701"/>
      <c r="CR2823" s="1701"/>
      <c r="CS2823" s="1701"/>
      <c r="CT2823" s="1701"/>
      <c r="CU2823" s="1701"/>
      <c r="CV2823" s="1701"/>
      <c r="CW2823" s="1701"/>
      <c r="CX2823" s="1701"/>
      <c r="CY2823" s="1701"/>
      <c r="CZ2823" s="1701"/>
      <c r="DA2823" s="1701"/>
      <c r="DB2823" s="1701"/>
      <c r="DC2823" s="1701"/>
      <c r="DD2823" s="1701"/>
      <c r="DE2823" s="1701"/>
      <c r="DF2823" s="1701"/>
      <c r="DG2823" s="1701"/>
      <c r="DH2823" s="1701"/>
      <c r="DI2823" s="1701"/>
      <c r="DJ2823" s="1701"/>
      <c r="DK2823" s="1701"/>
      <c r="DL2823" s="1701"/>
      <c r="DM2823" s="1701"/>
      <c r="DN2823" s="1701"/>
      <c r="DO2823" s="1701"/>
      <c r="DP2823" s="1701"/>
      <c r="DQ2823" s="1701"/>
      <c r="DR2823" s="1701"/>
      <c r="DS2823" s="1701"/>
      <c r="DT2823" s="1701"/>
      <c r="DU2823" s="1701"/>
      <c r="DV2823" s="1701"/>
      <c r="DW2823" s="1701"/>
      <c r="DX2823" s="1701"/>
      <c r="DY2823" s="1701"/>
      <c r="DZ2823" s="1701"/>
      <c r="EA2823" s="1701"/>
      <c r="EB2823" s="1701"/>
      <c r="EC2823" s="1701"/>
      <c r="ED2823" s="1701"/>
      <c r="EE2823" s="1701"/>
      <c r="EF2823" s="1701"/>
      <c r="EG2823" s="1701"/>
      <c r="EH2823" s="1701"/>
      <c r="EI2823" s="1701"/>
      <c r="EJ2823" s="1701"/>
      <c r="EK2823" s="1701"/>
      <c r="EL2823" s="1701"/>
      <c r="EM2823" s="1701"/>
    </row>
    <row r="2824" spans="1:143" s="1703" customFormat="1" ht="17.100000000000001" customHeight="1">
      <c r="A2824" s="1705"/>
      <c r="B2824" s="1705"/>
      <c r="C2824" s="1705"/>
      <c r="D2824" s="1705"/>
      <c r="E2824" s="1706"/>
      <c r="I2824" s="1701"/>
      <c r="J2824" s="1702"/>
      <c r="K2824" s="1701"/>
      <c r="L2824" s="1701"/>
      <c r="M2824" s="1701"/>
      <c r="N2824" s="1701"/>
      <c r="O2824" s="1701"/>
      <c r="P2824" s="1701"/>
      <c r="Q2824" s="1701"/>
      <c r="R2824" s="1701"/>
      <c r="S2824" s="1701"/>
      <c r="T2824" s="1701"/>
      <c r="U2824" s="1701"/>
      <c r="V2824" s="1701"/>
      <c r="W2824" s="1701"/>
      <c r="X2824" s="1701"/>
      <c r="Y2824" s="1701"/>
      <c r="Z2824" s="1701"/>
      <c r="AA2824" s="1701"/>
      <c r="AB2824" s="1701"/>
      <c r="AC2824" s="1701"/>
      <c r="AD2824" s="1701"/>
      <c r="AE2824" s="1701"/>
      <c r="AF2824" s="1701"/>
      <c r="AG2824" s="1701"/>
      <c r="AH2824" s="1701"/>
      <c r="AI2824" s="1701"/>
      <c r="AJ2824" s="1701"/>
      <c r="AK2824" s="1701"/>
      <c r="AL2824" s="1701"/>
      <c r="AM2824" s="1701"/>
      <c r="AN2824" s="1701"/>
      <c r="AO2824" s="1701"/>
      <c r="AP2824" s="1701"/>
      <c r="AQ2824" s="1701"/>
      <c r="AR2824" s="1701"/>
      <c r="AS2824" s="1701"/>
      <c r="AT2824" s="1701"/>
      <c r="AU2824" s="1701"/>
      <c r="AV2824" s="1701"/>
      <c r="AW2824" s="1701"/>
      <c r="AX2824" s="1701"/>
      <c r="AY2824" s="1701"/>
      <c r="AZ2824" s="1701"/>
      <c r="BA2824" s="1701"/>
      <c r="BB2824" s="1701"/>
      <c r="BC2824" s="1701"/>
      <c r="BD2824" s="1701"/>
      <c r="BE2824" s="1701"/>
      <c r="BF2824" s="1701"/>
      <c r="BG2824" s="1701"/>
      <c r="BH2824" s="1701"/>
      <c r="BI2824" s="1701"/>
      <c r="BJ2824" s="1701"/>
      <c r="BK2824" s="1701"/>
      <c r="BL2824" s="1701"/>
      <c r="BM2824" s="1701"/>
      <c r="BN2824" s="1701"/>
      <c r="BO2824" s="1701"/>
      <c r="BP2824" s="1701"/>
      <c r="BQ2824" s="1701"/>
      <c r="BR2824" s="1701"/>
      <c r="BS2824" s="1701"/>
      <c r="BT2824" s="1701"/>
      <c r="BU2824" s="1701"/>
      <c r="BV2824" s="1701"/>
      <c r="BW2824" s="1701"/>
      <c r="BX2824" s="1701"/>
      <c r="BY2824" s="1701"/>
      <c r="BZ2824" s="1701"/>
      <c r="CA2824" s="1701"/>
      <c r="CB2824" s="1701"/>
      <c r="CC2824" s="1701"/>
      <c r="CD2824" s="1701"/>
      <c r="CE2824" s="1701"/>
      <c r="CF2824" s="1701"/>
      <c r="CG2824" s="1701"/>
      <c r="CH2824" s="1701"/>
      <c r="CI2824" s="1701"/>
      <c r="CJ2824" s="1701"/>
      <c r="CK2824" s="1701"/>
      <c r="CL2824" s="1701"/>
      <c r="CM2824" s="1701"/>
      <c r="CN2824" s="1701"/>
      <c r="CO2824" s="1701"/>
      <c r="CP2824" s="1701"/>
      <c r="CQ2824" s="1701"/>
      <c r="CR2824" s="1701"/>
      <c r="CS2824" s="1701"/>
      <c r="CT2824" s="1701"/>
      <c r="CU2824" s="1701"/>
      <c r="CV2824" s="1701"/>
      <c r="CW2824" s="1701"/>
      <c r="CX2824" s="1701"/>
      <c r="CY2824" s="1701"/>
      <c r="CZ2824" s="1701"/>
      <c r="DA2824" s="1701"/>
      <c r="DB2824" s="1701"/>
      <c r="DC2824" s="1701"/>
      <c r="DD2824" s="1701"/>
      <c r="DE2824" s="1701"/>
      <c r="DF2824" s="1701"/>
      <c r="DG2824" s="1701"/>
      <c r="DH2824" s="1701"/>
      <c r="DI2824" s="1701"/>
      <c r="DJ2824" s="1701"/>
      <c r="DK2824" s="1701"/>
      <c r="DL2824" s="1701"/>
      <c r="DM2824" s="1701"/>
      <c r="DN2824" s="1701"/>
      <c r="DO2824" s="1701"/>
      <c r="DP2824" s="1701"/>
      <c r="DQ2824" s="1701"/>
      <c r="DR2824" s="1701"/>
      <c r="DS2824" s="1701"/>
      <c r="DT2824" s="1701"/>
      <c r="DU2824" s="1701"/>
      <c r="DV2824" s="1701"/>
      <c r="DW2824" s="1701"/>
      <c r="DX2824" s="1701"/>
      <c r="DY2824" s="1701"/>
      <c r="DZ2824" s="1701"/>
      <c r="EA2824" s="1701"/>
      <c r="EB2824" s="1701"/>
      <c r="EC2824" s="1701"/>
      <c r="ED2824" s="1701"/>
      <c r="EE2824" s="1701"/>
      <c r="EF2824" s="1701"/>
      <c r="EG2824" s="1701"/>
      <c r="EH2824" s="1701"/>
      <c r="EI2824" s="1701"/>
      <c r="EJ2824" s="1701"/>
      <c r="EK2824" s="1701"/>
      <c r="EL2824" s="1701"/>
      <c r="EM2824" s="1701"/>
    </row>
    <row r="2825" spans="1:143" s="1703" customFormat="1" ht="17.100000000000001" customHeight="1">
      <c r="A2825" s="1705"/>
      <c r="B2825" s="1705"/>
      <c r="C2825" s="1705"/>
      <c r="D2825" s="1705"/>
      <c r="E2825" s="1705"/>
      <c r="I2825" s="1701"/>
      <c r="J2825" s="1702"/>
      <c r="K2825" s="1701"/>
      <c r="L2825" s="1701"/>
      <c r="M2825" s="1701"/>
      <c r="N2825" s="1701"/>
      <c r="O2825" s="1701"/>
      <c r="P2825" s="1701"/>
      <c r="Q2825" s="1701"/>
      <c r="R2825" s="1701"/>
      <c r="S2825" s="1701"/>
      <c r="T2825" s="1701"/>
      <c r="U2825" s="1701"/>
      <c r="V2825" s="1701"/>
      <c r="W2825" s="1701"/>
      <c r="X2825" s="1701"/>
      <c r="Y2825" s="1701"/>
      <c r="Z2825" s="1701"/>
      <c r="AA2825" s="1701"/>
      <c r="AB2825" s="1701"/>
      <c r="AC2825" s="1701"/>
      <c r="AD2825" s="1701"/>
      <c r="AE2825" s="1701"/>
      <c r="AF2825" s="1701"/>
      <c r="AG2825" s="1701"/>
      <c r="AH2825" s="1701"/>
      <c r="AI2825" s="1701"/>
      <c r="AJ2825" s="1701"/>
      <c r="AK2825" s="1701"/>
      <c r="AL2825" s="1701"/>
      <c r="AM2825" s="1701"/>
      <c r="AN2825" s="1701"/>
      <c r="AO2825" s="1701"/>
      <c r="AP2825" s="1701"/>
      <c r="AQ2825" s="1701"/>
      <c r="AR2825" s="1701"/>
      <c r="AS2825" s="1701"/>
      <c r="AT2825" s="1701"/>
      <c r="AU2825" s="1701"/>
      <c r="AV2825" s="1701"/>
      <c r="AW2825" s="1701"/>
      <c r="AX2825" s="1701"/>
      <c r="AY2825" s="1701"/>
      <c r="AZ2825" s="1701"/>
      <c r="BA2825" s="1701"/>
      <c r="BB2825" s="1701"/>
      <c r="BC2825" s="1701"/>
      <c r="BD2825" s="1701"/>
      <c r="BE2825" s="1701"/>
      <c r="BF2825" s="1701"/>
      <c r="BG2825" s="1701"/>
      <c r="BH2825" s="1701"/>
      <c r="BI2825" s="1701"/>
      <c r="BJ2825" s="1701"/>
      <c r="BK2825" s="1701"/>
      <c r="BL2825" s="1701"/>
      <c r="BM2825" s="1701"/>
      <c r="BN2825" s="1701"/>
      <c r="BO2825" s="1701"/>
      <c r="BP2825" s="1701"/>
      <c r="BQ2825" s="1701"/>
      <c r="BR2825" s="1701"/>
      <c r="BS2825" s="1701"/>
      <c r="BT2825" s="1701"/>
      <c r="BU2825" s="1701"/>
      <c r="BV2825" s="1701"/>
      <c r="BW2825" s="1701"/>
      <c r="BX2825" s="1701"/>
      <c r="BY2825" s="1701"/>
      <c r="BZ2825" s="1701"/>
      <c r="CA2825" s="1701"/>
      <c r="CB2825" s="1701"/>
      <c r="CC2825" s="1701"/>
      <c r="CD2825" s="1701"/>
      <c r="CE2825" s="1701"/>
      <c r="CF2825" s="1701"/>
      <c r="CG2825" s="1701"/>
      <c r="CH2825" s="1701"/>
      <c r="CI2825" s="1701"/>
      <c r="CJ2825" s="1701"/>
      <c r="CK2825" s="1701"/>
      <c r="CL2825" s="1701"/>
      <c r="CM2825" s="1701"/>
      <c r="CN2825" s="1701"/>
      <c r="CO2825" s="1701"/>
      <c r="CP2825" s="1701"/>
      <c r="CQ2825" s="1701"/>
      <c r="CR2825" s="1701"/>
      <c r="CS2825" s="1701"/>
      <c r="CT2825" s="1701"/>
      <c r="CU2825" s="1701"/>
      <c r="CV2825" s="1701"/>
      <c r="CW2825" s="1701"/>
      <c r="CX2825" s="1701"/>
      <c r="CY2825" s="1701"/>
      <c r="CZ2825" s="1701"/>
      <c r="DA2825" s="1701"/>
      <c r="DB2825" s="1701"/>
      <c r="DC2825" s="1701"/>
      <c r="DD2825" s="1701"/>
      <c r="DE2825" s="1701"/>
      <c r="DF2825" s="1701"/>
      <c r="DG2825" s="1701"/>
      <c r="DH2825" s="1701"/>
      <c r="DI2825" s="1701"/>
      <c r="DJ2825" s="1701"/>
      <c r="DK2825" s="1701"/>
      <c r="DL2825" s="1701"/>
      <c r="DM2825" s="1701"/>
      <c r="DN2825" s="1701"/>
      <c r="DO2825" s="1701"/>
      <c r="DP2825" s="1701"/>
      <c r="DQ2825" s="1701"/>
      <c r="DR2825" s="1701"/>
      <c r="DS2825" s="1701"/>
      <c r="DT2825" s="1701"/>
      <c r="DU2825" s="1701"/>
      <c r="DV2825" s="1701"/>
      <c r="DW2825" s="1701"/>
      <c r="DX2825" s="1701"/>
      <c r="DY2825" s="1701"/>
      <c r="DZ2825" s="1701"/>
      <c r="EA2825" s="1701"/>
      <c r="EB2825" s="1701"/>
      <c r="EC2825" s="1701"/>
      <c r="ED2825" s="1701"/>
      <c r="EE2825" s="1701"/>
      <c r="EF2825" s="1701"/>
      <c r="EG2825" s="1701"/>
      <c r="EH2825" s="1701"/>
      <c r="EI2825" s="1701"/>
      <c r="EJ2825" s="1701"/>
      <c r="EK2825" s="1701"/>
      <c r="EL2825" s="1701"/>
      <c r="EM2825" s="1701"/>
    </row>
    <row r="2826" spans="1:143" s="1703" customFormat="1" ht="17.100000000000001" customHeight="1">
      <c r="A2826" s="4034"/>
      <c r="B2826" s="4035"/>
      <c r="C2826" s="4035"/>
      <c r="D2826" s="4035"/>
      <c r="E2826" s="1705"/>
      <c r="I2826" s="1701"/>
      <c r="J2826" s="1702"/>
      <c r="K2826" s="1701"/>
      <c r="L2826" s="1701"/>
      <c r="M2826" s="1701"/>
      <c r="N2826" s="1701"/>
      <c r="O2826" s="1701"/>
      <c r="P2826" s="1701"/>
      <c r="Q2826" s="1701"/>
      <c r="R2826" s="1701"/>
      <c r="S2826" s="1701"/>
      <c r="T2826" s="1701"/>
      <c r="U2826" s="1701"/>
      <c r="V2826" s="1701"/>
      <c r="W2826" s="1701"/>
      <c r="X2826" s="1701"/>
      <c r="Y2826" s="1701"/>
      <c r="Z2826" s="1701"/>
      <c r="AA2826" s="1701"/>
      <c r="AB2826" s="1701"/>
      <c r="AC2826" s="1701"/>
      <c r="AD2826" s="1701"/>
      <c r="AE2826" s="1701"/>
      <c r="AF2826" s="1701"/>
      <c r="AG2826" s="1701"/>
      <c r="AH2826" s="1701"/>
      <c r="AI2826" s="1701"/>
      <c r="AJ2826" s="1701"/>
      <c r="AK2826" s="1701"/>
      <c r="AL2826" s="1701"/>
      <c r="AM2826" s="1701"/>
      <c r="AN2826" s="1701"/>
      <c r="AO2826" s="1701"/>
      <c r="AP2826" s="1701"/>
      <c r="AQ2826" s="1701"/>
      <c r="AR2826" s="1701"/>
      <c r="AS2826" s="1701"/>
      <c r="AT2826" s="1701"/>
      <c r="AU2826" s="1701"/>
      <c r="AV2826" s="1701"/>
      <c r="AW2826" s="1701"/>
      <c r="AX2826" s="1701"/>
      <c r="AY2826" s="1701"/>
      <c r="AZ2826" s="1701"/>
      <c r="BA2826" s="1701"/>
      <c r="BB2826" s="1701"/>
      <c r="BC2826" s="1701"/>
      <c r="BD2826" s="1701"/>
      <c r="BE2826" s="1701"/>
      <c r="BF2826" s="1701"/>
      <c r="BG2826" s="1701"/>
      <c r="BH2826" s="1701"/>
      <c r="BI2826" s="1701"/>
      <c r="BJ2826" s="1701"/>
      <c r="BK2826" s="1701"/>
      <c r="BL2826" s="1701"/>
      <c r="BM2826" s="1701"/>
      <c r="BN2826" s="1701"/>
      <c r="BO2826" s="1701"/>
      <c r="BP2826" s="1701"/>
      <c r="BQ2826" s="1701"/>
      <c r="BR2826" s="1701"/>
      <c r="BS2826" s="1701"/>
      <c r="BT2826" s="1701"/>
      <c r="BU2826" s="1701"/>
      <c r="BV2826" s="1701"/>
      <c r="BW2826" s="1701"/>
      <c r="BX2826" s="1701"/>
      <c r="BY2826" s="1701"/>
      <c r="BZ2826" s="1701"/>
      <c r="CA2826" s="1701"/>
      <c r="CB2826" s="1701"/>
      <c r="CC2826" s="1701"/>
      <c r="CD2826" s="1701"/>
      <c r="CE2826" s="1701"/>
      <c r="CF2826" s="1701"/>
      <c r="CG2826" s="1701"/>
      <c r="CH2826" s="1701"/>
      <c r="CI2826" s="1701"/>
      <c r="CJ2826" s="1701"/>
      <c r="CK2826" s="1701"/>
      <c r="CL2826" s="1701"/>
      <c r="CM2826" s="1701"/>
      <c r="CN2826" s="1701"/>
      <c r="CO2826" s="1701"/>
      <c r="CP2826" s="1701"/>
      <c r="CQ2826" s="1701"/>
      <c r="CR2826" s="1701"/>
      <c r="CS2826" s="1701"/>
      <c r="CT2826" s="1701"/>
      <c r="CU2826" s="1701"/>
      <c r="CV2826" s="1701"/>
      <c r="CW2826" s="1701"/>
      <c r="CX2826" s="1701"/>
      <c r="CY2826" s="1701"/>
      <c r="CZ2826" s="1701"/>
      <c r="DA2826" s="1701"/>
      <c r="DB2826" s="1701"/>
      <c r="DC2826" s="1701"/>
      <c r="DD2826" s="1701"/>
      <c r="DE2826" s="1701"/>
      <c r="DF2826" s="1701"/>
      <c r="DG2826" s="1701"/>
      <c r="DH2826" s="1701"/>
      <c r="DI2826" s="1701"/>
      <c r="DJ2826" s="1701"/>
      <c r="DK2826" s="1701"/>
      <c r="DL2826" s="1701"/>
      <c r="DM2826" s="1701"/>
      <c r="DN2826" s="1701"/>
      <c r="DO2826" s="1701"/>
      <c r="DP2826" s="1701"/>
      <c r="DQ2826" s="1701"/>
      <c r="DR2826" s="1701"/>
      <c r="DS2826" s="1701"/>
      <c r="DT2826" s="1701"/>
      <c r="DU2826" s="1701"/>
      <c r="DV2826" s="1701"/>
      <c r="DW2826" s="1701"/>
      <c r="DX2826" s="1701"/>
      <c r="DY2826" s="1701"/>
      <c r="DZ2826" s="1701"/>
      <c r="EA2826" s="1701"/>
      <c r="EB2826" s="1701"/>
      <c r="EC2826" s="1701"/>
      <c r="ED2826" s="1701"/>
      <c r="EE2826" s="1701"/>
      <c r="EF2826" s="1701"/>
      <c r="EG2826" s="1701"/>
      <c r="EH2826" s="1701"/>
      <c r="EI2826" s="1701"/>
      <c r="EJ2826" s="1701"/>
      <c r="EK2826" s="1701"/>
      <c r="EL2826" s="1701"/>
      <c r="EM2826" s="1701"/>
    </row>
    <row r="2827" spans="1:143" s="1703" customFormat="1" ht="17.100000000000001" customHeight="1">
      <c r="A2827" s="1705"/>
      <c r="B2827" s="1705"/>
      <c r="C2827" s="1705"/>
      <c r="D2827" s="1705"/>
      <c r="E2827" s="1705"/>
      <c r="I2827" s="1701"/>
      <c r="J2827" s="1702"/>
      <c r="K2827" s="1701"/>
      <c r="L2827" s="1701"/>
      <c r="M2827" s="1701"/>
      <c r="N2827" s="1701"/>
      <c r="O2827" s="1701"/>
      <c r="P2827" s="1701"/>
      <c r="Q2827" s="1701"/>
      <c r="R2827" s="1701"/>
      <c r="S2827" s="1701"/>
      <c r="T2827" s="1701"/>
      <c r="U2827" s="1701"/>
      <c r="V2827" s="1701"/>
      <c r="W2827" s="1701"/>
      <c r="X2827" s="1701"/>
      <c r="Y2827" s="1701"/>
      <c r="Z2827" s="1701"/>
      <c r="AA2827" s="1701"/>
      <c r="AB2827" s="1701"/>
      <c r="AC2827" s="1701"/>
      <c r="AD2827" s="1701"/>
      <c r="AE2827" s="1701"/>
      <c r="AF2827" s="1701"/>
      <c r="AG2827" s="1701"/>
      <c r="AH2827" s="1701"/>
      <c r="AI2827" s="1701"/>
      <c r="AJ2827" s="1701"/>
      <c r="AK2827" s="1701"/>
      <c r="AL2827" s="1701"/>
      <c r="AM2827" s="1701"/>
      <c r="AN2827" s="1701"/>
      <c r="AO2827" s="1701"/>
      <c r="AP2827" s="1701"/>
      <c r="AQ2827" s="1701"/>
      <c r="AR2827" s="1701"/>
      <c r="AS2827" s="1701"/>
      <c r="AT2827" s="1701"/>
      <c r="AU2827" s="1701"/>
      <c r="AV2827" s="1701"/>
      <c r="AW2827" s="1701"/>
      <c r="AX2827" s="1701"/>
      <c r="AY2827" s="1701"/>
      <c r="AZ2827" s="1701"/>
      <c r="BA2827" s="1701"/>
      <c r="BB2827" s="1701"/>
      <c r="BC2827" s="1701"/>
      <c r="BD2827" s="1701"/>
      <c r="BE2827" s="1701"/>
      <c r="BF2827" s="1701"/>
      <c r="BG2827" s="1701"/>
      <c r="BH2827" s="1701"/>
      <c r="BI2827" s="1701"/>
      <c r="BJ2827" s="1701"/>
      <c r="BK2827" s="1701"/>
      <c r="BL2827" s="1701"/>
      <c r="BM2827" s="1701"/>
      <c r="BN2827" s="1701"/>
      <c r="BO2827" s="1701"/>
      <c r="BP2827" s="1701"/>
      <c r="BQ2827" s="1701"/>
      <c r="BR2827" s="1701"/>
      <c r="BS2827" s="1701"/>
      <c r="BT2827" s="1701"/>
      <c r="BU2827" s="1701"/>
      <c r="BV2827" s="1701"/>
      <c r="BW2827" s="1701"/>
      <c r="BX2827" s="1701"/>
      <c r="BY2827" s="1701"/>
      <c r="BZ2827" s="1701"/>
      <c r="CA2827" s="1701"/>
      <c r="CB2827" s="1701"/>
      <c r="CC2827" s="1701"/>
      <c r="CD2827" s="1701"/>
      <c r="CE2827" s="1701"/>
      <c r="CF2827" s="1701"/>
      <c r="CG2827" s="1701"/>
      <c r="CH2827" s="1701"/>
      <c r="CI2827" s="1701"/>
      <c r="CJ2827" s="1701"/>
      <c r="CK2827" s="1701"/>
      <c r="CL2827" s="1701"/>
      <c r="CM2827" s="1701"/>
      <c r="CN2827" s="1701"/>
      <c r="CO2827" s="1701"/>
      <c r="CP2827" s="1701"/>
      <c r="CQ2827" s="1701"/>
      <c r="CR2827" s="1701"/>
      <c r="CS2827" s="1701"/>
      <c r="CT2827" s="1701"/>
      <c r="CU2827" s="1701"/>
      <c r="CV2827" s="1701"/>
      <c r="CW2827" s="1701"/>
      <c r="CX2827" s="1701"/>
      <c r="CY2827" s="1701"/>
      <c r="CZ2827" s="1701"/>
      <c r="DA2827" s="1701"/>
      <c r="DB2827" s="1701"/>
      <c r="DC2827" s="1701"/>
      <c r="DD2827" s="1701"/>
      <c r="DE2827" s="1701"/>
      <c r="DF2827" s="1701"/>
      <c r="DG2827" s="1701"/>
      <c r="DH2827" s="1701"/>
      <c r="DI2827" s="1701"/>
      <c r="DJ2827" s="1701"/>
      <c r="DK2827" s="1701"/>
      <c r="DL2827" s="1701"/>
      <c r="DM2827" s="1701"/>
      <c r="DN2827" s="1701"/>
      <c r="DO2827" s="1701"/>
      <c r="DP2827" s="1701"/>
      <c r="DQ2827" s="1701"/>
      <c r="DR2827" s="1701"/>
      <c r="DS2827" s="1701"/>
      <c r="DT2827" s="1701"/>
      <c r="DU2827" s="1701"/>
      <c r="DV2827" s="1701"/>
      <c r="DW2827" s="1701"/>
      <c r="DX2827" s="1701"/>
      <c r="DY2827" s="1701"/>
      <c r="DZ2827" s="1701"/>
      <c r="EA2827" s="1701"/>
      <c r="EB2827" s="1701"/>
      <c r="EC2827" s="1701"/>
      <c r="ED2827" s="1701"/>
      <c r="EE2827" s="1701"/>
      <c r="EF2827" s="1701"/>
      <c r="EG2827" s="1701"/>
      <c r="EH2827" s="1701"/>
      <c r="EI2827" s="1701"/>
      <c r="EJ2827" s="1701"/>
      <c r="EK2827" s="1701"/>
      <c r="EL2827" s="1701"/>
      <c r="EM2827" s="1701"/>
    </row>
    <row r="2828" spans="1:143" s="1703" customFormat="1">
      <c r="A2828" s="1705"/>
      <c r="B2828" s="1705"/>
      <c r="C2828" s="1705"/>
      <c r="D2828" s="1705"/>
      <c r="E2828" s="1705"/>
      <c r="I2828" s="1701"/>
      <c r="J2828" s="1702"/>
      <c r="K2828" s="1701"/>
      <c r="L2828" s="1701"/>
      <c r="M2828" s="1701"/>
      <c r="N2828" s="1701"/>
      <c r="O2828" s="1701"/>
      <c r="P2828" s="1701"/>
      <c r="Q2828" s="1701"/>
      <c r="R2828" s="1701"/>
      <c r="S2828" s="1701"/>
      <c r="T2828" s="1701"/>
      <c r="U2828" s="1701"/>
      <c r="V2828" s="1701"/>
      <c r="W2828" s="1701"/>
      <c r="X2828" s="1701"/>
      <c r="Y2828" s="1701"/>
      <c r="Z2828" s="1701"/>
      <c r="AA2828" s="1701"/>
      <c r="AB2828" s="1701"/>
      <c r="AC2828" s="1701"/>
      <c r="AD2828" s="1701"/>
      <c r="AE2828" s="1701"/>
      <c r="AF2828" s="1701"/>
      <c r="AG2828" s="1701"/>
      <c r="AH2828" s="1701"/>
      <c r="AI2828" s="1701"/>
      <c r="AJ2828" s="1701"/>
      <c r="AK2828" s="1701"/>
      <c r="AL2828" s="1701"/>
      <c r="AM2828" s="1701"/>
      <c r="AN2828" s="1701"/>
      <c r="AO2828" s="1701"/>
      <c r="AP2828" s="1701"/>
      <c r="AQ2828" s="1701"/>
      <c r="AR2828" s="1701"/>
      <c r="AS2828" s="1701"/>
      <c r="AT2828" s="1701"/>
      <c r="AU2828" s="1701"/>
      <c r="AV2828" s="1701"/>
      <c r="AW2828" s="1701"/>
      <c r="AX2828" s="1701"/>
      <c r="AY2828" s="1701"/>
      <c r="AZ2828" s="1701"/>
      <c r="BA2828" s="1701"/>
      <c r="BB2828" s="1701"/>
      <c r="BC2828" s="1701"/>
      <c r="BD2828" s="1701"/>
      <c r="BE2828" s="1701"/>
      <c r="BF2828" s="1701"/>
      <c r="BG2828" s="1701"/>
      <c r="BH2828" s="1701"/>
      <c r="BI2828" s="1701"/>
      <c r="BJ2828" s="1701"/>
      <c r="BK2828" s="1701"/>
      <c r="BL2828" s="1701"/>
      <c r="BM2828" s="1701"/>
      <c r="BN2828" s="1701"/>
      <c r="BO2828" s="1701"/>
      <c r="BP2828" s="1701"/>
      <c r="BQ2828" s="1701"/>
      <c r="BR2828" s="1701"/>
      <c r="BS2828" s="1701"/>
      <c r="BT2828" s="1701"/>
      <c r="BU2828" s="1701"/>
      <c r="BV2828" s="1701"/>
      <c r="BW2828" s="1701"/>
      <c r="BX2828" s="1701"/>
      <c r="BY2828" s="1701"/>
      <c r="BZ2828" s="1701"/>
      <c r="CA2828" s="1701"/>
      <c r="CB2828" s="1701"/>
      <c r="CC2828" s="1701"/>
      <c r="CD2828" s="1701"/>
      <c r="CE2828" s="1701"/>
      <c r="CF2828" s="1701"/>
      <c r="CG2828" s="1701"/>
      <c r="CH2828" s="1701"/>
      <c r="CI2828" s="1701"/>
      <c r="CJ2828" s="1701"/>
      <c r="CK2828" s="1701"/>
      <c r="CL2828" s="1701"/>
      <c r="CM2828" s="1701"/>
      <c r="CN2828" s="1701"/>
      <c r="CO2828" s="1701"/>
      <c r="CP2828" s="1701"/>
      <c r="CQ2828" s="1701"/>
      <c r="CR2828" s="1701"/>
      <c r="CS2828" s="1701"/>
      <c r="CT2828" s="1701"/>
      <c r="CU2828" s="1701"/>
      <c r="CV2828" s="1701"/>
      <c r="CW2828" s="1701"/>
      <c r="CX2828" s="1701"/>
      <c r="CY2828" s="1701"/>
      <c r="CZ2828" s="1701"/>
      <c r="DA2828" s="1701"/>
      <c r="DB2828" s="1701"/>
      <c r="DC2828" s="1701"/>
      <c r="DD2828" s="1701"/>
      <c r="DE2828" s="1701"/>
      <c r="DF2828" s="1701"/>
      <c r="DG2828" s="1701"/>
      <c r="DH2828" s="1701"/>
      <c r="DI2828" s="1701"/>
      <c r="DJ2828" s="1701"/>
      <c r="DK2828" s="1701"/>
      <c r="DL2828" s="1701"/>
      <c r="DM2828" s="1701"/>
      <c r="DN2828" s="1701"/>
      <c r="DO2828" s="1701"/>
      <c r="DP2828" s="1701"/>
      <c r="DQ2828" s="1701"/>
      <c r="DR2828" s="1701"/>
      <c r="DS2828" s="1701"/>
      <c r="DT2828" s="1701"/>
      <c r="DU2828" s="1701"/>
      <c r="DV2828" s="1701"/>
      <c r="DW2828" s="1701"/>
      <c r="DX2828" s="1701"/>
      <c r="DY2828" s="1701"/>
      <c r="DZ2828" s="1701"/>
      <c r="EA2828" s="1701"/>
      <c r="EB2828" s="1701"/>
      <c r="EC2828" s="1701"/>
      <c r="ED2828" s="1701"/>
      <c r="EE2828" s="1701"/>
      <c r="EF2828" s="1701"/>
      <c r="EG2828" s="1701"/>
      <c r="EH2828" s="1701"/>
      <c r="EI2828" s="1701"/>
      <c r="EJ2828" s="1701"/>
      <c r="EK2828" s="1701"/>
      <c r="EL2828" s="1701"/>
      <c r="EM2828" s="1701"/>
    </row>
    <row r="2829" spans="1:143" s="1703" customFormat="1">
      <c r="A2829" s="1705"/>
      <c r="B2829" s="1705"/>
      <c r="C2829" s="1705"/>
      <c r="D2829" s="1705"/>
      <c r="E2829" s="1705"/>
      <c r="I2829" s="1701"/>
      <c r="J2829" s="1702"/>
      <c r="K2829" s="1701"/>
      <c r="L2829" s="1701"/>
      <c r="M2829" s="1701"/>
      <c r="N2829" s="1701"/>
      <c r="O2829" s="1701"/>
      <c r="P2829" s="1701"/>
      <c r="Q2829" s="1701"/>
      <c r="R2829" s="1701"/>
      <c r="S2829" s="1701"/>
      <c r="T2829" s="1701"/>
      <c r="U2829" s="1701"/>
      <c r="V2829" s="1701"/>
      <c r="W2829" s="1701"/>
      <c r="X2829" s="1701"/>
      <c r="Y2829" s="1701"/>
      <c r="Z2829" s="1701"/>
      <c r="AA2829" s="1701"/>
      <c r="AB2829" s="1701"/>
      <c r="AC2829" s="1701"/>
      <c r="AD2829" s="1701"/>
      <c r="AE2829" s="1701"/>
      <c r="AF2829" s="1701"/>
      <c r="AG2829" s="1701"/>
      <c r="AH2829" s="1701"/>
      <c r="AI2829" s="1701"/>
      <c r="AJ2829" s="1701"/>
      <c r="AK2829" s="1701"/>
      <c r="AL2829" s="1701"/>
      <c r="AM2829" s="1701"/>
      <c r="AN2829" s="1701"/>
      <c r="AO2829" s="1701"/>
      <c r="AP2829" s="1701"/>
      <c r="AQ2829" s="1701"/>
      <c r="AR2829" s="1701"/>
      <c r="AS2829" s="1701"/>
      <c r="AT2829" s="1701"/>
      <c r="AU2829" s="1701"/>
      <c r="AV2829" s="1701"/>
      <c r="AW2829" s="1701"/>
      <c r="AX2829" s="1701"/>
      <c r="AY2829" s="1701"/>
      <c r="AZ2829" s="1701"/>
      <c r="BA2829" s="1701"/>
      <c r="BB2829" s="1701"/>
      <c r="BC2829" s="1701"/>
      <c r="BD2829" s="1701"/>
      <c r="BE2829" s="1701"/>
      <c r="BF2829" s="1701"/>
      <c r="BG2829" s="1701"/>
      <c r="BH2829" s="1701"/>
      <c r="BI2829" s="1701"/>
      <c r="BJ2829" s="1701"/>
      <c r="BK2829" s="1701"/>
      <c r="BL2829" s="1701"/>
      <c r="BM2829" s="1701"/>
      <c r="BN2829" s="1701"/>
      <c r="BO2829" s="1701"/>
      <c r="BP2829" s="1701"/>
      <c r="BQ2829" s="1701"/>
      <c r="BR2829" s="1701"/>
      <c r="BS2829" s="1701"/>
      <c r="BT2829" s="1701"/>
      <c r="BU2829" s="1701"/>
      <c r="BV2829" s="1701"/>
      <c r="BW2829" s="1701"/>
      <c r="BX2829" s="1701"/>
      <c r="BY2829" s="1701"/>
      <c r="BZ2829" s="1701"/>
      <c r="CA2829" s="1701"/>
      <c r="CB2829" s="1701"/>
      <c r="CC2829" s="1701"/>
      <c r="CD2829" s="1701"/>
      <c r="CE2829" s="1701"/>
      <c r="CF2829" s="1701"/>
      <c r="CG2829" s="1701"/>
      <c r="CH2829" s="1701"/>
      <c r="CI2829" s="1701"/>
      <c r="CJ2829" s="1701"/>
      <c r="CK2829" s="1701"/>
      <c r="CL2829" s="1701"/>
      <c r="CM2829" s="1701"/>
      <c r="CN2829" s="1701"/>
      <c r="CO2829" s="1701"/>
      <c r="CP2829" s="1701"/>
      <c r="CQ2829" s="1701"/>
      <c r="CR2829" s="1701"/>
      <c r="CS2829" s="1701"/>
      <c r="CT2829" s="1701"/>
      <c r="CU2829" s="1701"/>
      <c r="CV2829" s="1701"/>
      <c r="CW2829" s="1701"/>
      <c r="CX2829" s="1701"/>
      <c r="CY2829" s="1701"/>
      <c r="CZ2829" s="1701"/>
      <c r="DA2829" s="1701"/>
      <c r="DB2829" s="1701"/>
      <c r="DC2829" s="1701"/>
      <c r="DD2829" s="1701"/>
      <c r="DE2829" s="1701"/>
      <c r="DF2829" s="1701"/>
      <c r="DG2829" s="1701"/>
      <c r="DH2829" s="1701"/>
      <c r="DI2829" s="1701"/>
      <c r="DJ2829" s="1701"/>
      <c r="DK2829" s="1701"/>
      <c r="DL2829" s="1701"/>
      <c r="DM2829" s="1701"/>
      <c r="DN2829" s="1701"/>
      <c r="DO2829" s="1701"/>
      <c r="DP2829" s="1701"/>
      <c r="DQ2829" s="1701"/>
      <c r="DR2829" s="1701"/>
      <c r="DS2829" s="1701"/>
      <c r="DT2829" s="1701"/>
      <c r="DU2829" s="1701"/>
      <c r="DV2829" s="1701"/>
      <c r="DW2829" s="1701"/>
      <c r="DX2829" s="1701"/>
      <c r="DY2829" s="1701"/>
      <c r="DZ2829" s="1701"/>
      <c r="EA2829" s="1701"/>
      <c r="EB2829" s="1701"/>
      <c r="EC2829" s="1701"/>
      <c r="ED2829" s="1701"/>
      <c r="EE2829" s="1701"/>
      <c r="EF2829" s="1701"/>
      <c r="EG2829" s="1701"/>
      <c r="EH2829" s="1701"/>
      <c r="EI2829" s="1701"/>
      <c r="EJ2829" s="1701"/>
      <c r="EK2829" s="1701"/>
      <c r="EL2829" s="1701"/>
      <c r="EM2829" s="1701"/>
    </row>
    <row r="2830" spans="1:143" s="1703" customFormat="1">
      <c r="A2830" s="1701"/>
      <c r="B2830" s="1701"/>
      <c r="C2830" s="1704"/>
      <c r="D2830" s="1701"/>
      <c r="E2830" s="1701"/>
      <c r="I2830" s="1701"/>
      <c r="J2830" s="1702"/>
      <c r="K2830" s="1701"/>
      <c r="L2830" s="1701"/>
      <c r="M2830" s="1701"/>
      <c r="N2830" s="1701"/>
      <c r="O2830" s="1701"/>
      <c r="P2830" s="1701"/>
      <c r="Q2830" s="1701"/>
      <c r="R2830" s="1701"/>
      <c r="S2830" s="1701"/>
      <c r="T2830" s="1701"/>
      <c r="U2830" s="1701"/>
      <c r="V2830" s="1701"/>
      <c r="W2830" s="1701"/>
      <c r="X2830" s="1701"/>
      <c r="Y2830" s="1701"/>
      <c r="Z2830" s="1701"/>
      <c r="AA2830" s="1701"/>
      <c r="AB2830" s="1701"/>
      <c r="AC2830" s="1701"/>
      <c r="AD2830" s="1701"/>
      <c r="AE2830" s="1701"/>
      <c r="AF2830" s="1701"/>
      <c r="AG2830" s="1701"/>
      <c r="AH2830" s="1701"/>
      <c r="AI2830" s="1701"/>
      <c r="AJ2830" s="1701"/>
      <c r="AK2830" s="1701"/>
      <c r="AL2830" s="1701"/>
      <c r="AM2830" s="1701"/>
      <c r="AN2830" s="1701"/>
      <c r="AO2830" s="1701"/>
      <c r="AP2830" s="1701"/>
      <c r="AQ2830" s="1701"/>
      <c r="AR2830" s="1701"/>
      <c r="AS2830" s="1701"/>
      <c r="AT2830" s="1701"/>
      <c r="AU2830" s="1701"/>
      <c r="AV2830" s="1701"/>
      <c r="AW2830" s="1701"/>
      <c r="AX2830" s="1701"/>
      <c r="AY2830" s="1701"/>
      <c r="AZ2830" s="1701"/>
      <c r="BA2830" s="1701"/>
      <c r="BB2830" s="1701"/>
      <c r="BC2830" s="1701"/>
      <c r="BD2830" s="1701"/>
      <c r="BE2830" s="1701"/>
      <c r="BF2830" s="1701"/>
      <c r="BG2830" s="1701"/>
      <c r="BH2830" s="1701"/>
      <c r="BI2830" s="1701"/>
      <c r="BJ2830" s="1701"/>
      <c r="BK2830" s="1701"/>
      <c r="BL2830" s="1701"/>
      <c r="BM2830" s="1701"/>
      <c r="BN2830" s="1701"/>
      <c r="BO2830" s="1701"/>
      <c r="BP2830" s="1701"/>
      <c r="BQ2830" s="1701"/>
      <c r="BR2830" s="1701"/>
      <c r="BS2830" s="1701"/>
      <c r="BT2830" s="1701"/>
      <c r="BU2830" s="1701"/>
      <c r="BV2830" s="1701"/>
      <c r="BW2830" s="1701"/>
      <c r="BX2830" s="1701"/>
      <c r="BY2830" s="1701"/>
      <c r="BZ2830" s="1701"/>
      <c r="CA2830" s="1701"/>
      <c r="CB2830" s="1701"/>
      <c r="CC2830" s="1701"/>
      <c r="CD2830" s="1701"/>
      <c r="CE2830" s="1701"/>
      <c r="CF2830" s="1701"/>
      <c r="CG2830" s="1701"/>
      <c r="CH2830" s="1701"/>
      <c r="CI2830" s="1701"/>
      <c r="CJ2830" s="1701"/>
      <c r="CK2830" s="1701"/>
      <c r="CL2830" s="1701"/>
      <c r="CM2830" s="1701"/>
      <c r="CN2830" s="1701"/>
      <c r="CO2830" s="1701"/>
      <c r="CP2830" s="1701"/>
      <c r="CQ2830" s="1701"/>
      <c r="CR2830" s="1701"/>
      <c r="CS2830" s="1701"/>
      <c r="CT2830" s="1701"/>
      <c r="CU2830" s="1701"/>
      <c r="CV2830" s="1701"/>
      <c r="CW2830" s="1701"/>
      <c r="CX2830" s="1701"/>
      <c r="CY2830" s="1701"/>
      <c r="CZ2830" s="1701"/>
      <c r="DA2830" s="1701"/>
      <c r="DB2830" s="1701"/>
      <c r="DC2830" s="1701"/>
      <c r="DD2830" s="1701"/>
      <c r="DE2830" s="1701"/>
      <c r="DF2830" s="1701"/>
      <c r="DG2830" s="1701"/>
      <c r="DH2830" s="1701"/>
      <c r="DI2830" s="1701"/>
      <c r="DJ2830" s="1701"/>
      <c r="DK2830" s="1701"/>
      <c r="DL2830" s="1701"/>
      <c r="DM2830" s="1701"/>
      <c r="DN2830" s="1701"/>
      <c r="DO2830" s="1701"/>
      <c r="DP2830" s="1701"/>
      <c r="DQ2830" s="1701"/>
      <c r="DR2830" s="1701"/>
      <c r="DS2830" s="1701"/>
      <c r="DT2830" s="1701"/>
      <c r="DU2830" s="1701"/>
      <c r="DV2830" s="1701"/>
      <c r="DW2830" s="1701"/>
      <c r="DX2830" s="1701"/>
      <c r="DY2830" s="1701"/>
      <c r="DZ2830" s="1701"/>
      <c r="EA2830" s="1701"/>
      <c r="EB2830" s="1701"/>
      <c r="EC2830" s="1701"/>
      <c r="ED2830" s="1701"/>
      <c r="EE2830" s="1701"/>
      <c r="EF2830" s="1701"/>
      <c r="EG2830" s="1701"/>
      <c r="EH2830" s="1701"/>
      <c r="EI2830" s="1701"/>
      <c r="EJ2830" s="1701"/>
      <c r="EK2830" s="1701"/>
      <c r="EL2830" s="1701"/>
      <c r="EM2830" s="1701"/>
    </row>
    <row r="2832" spans="1:143" s="1703" customFormat="1">
      <c r="A2832" s="1701"/>
      <c r="B2832" s="1701"/>
      <c r="C2832" s="1704"/>
      <c r="D2832" s="1701"/>
      <c r="E2832" s="1701"/>
      <c r="I2832" s="1701"/>
      <c r="J2832" s="1702"/>
      <c r="K2832" s="1701"/>
      <c r="L2832" s="1701"/>
      <c r="M2832" s="1701"/>
      <c r="N2832" s="1701"/>
      <c r="O2832" s="1701"/>
      <c r="P2832" s="1701"/>
      <c r="Q2832" s="1701"/>
      <c r="R2832" s="1701"/>
      <c r="S2832" s="1701"/>
      <c r="T2832" s="1701"/>
      <c r="U2832" s="1701"/>
      <c r="V2832" s="1701"/>
      <c r="W2832" s="1701"/>
      <c r="X2832" s="1701"/>
      <c r="Y2832" s="1701"/>
      <c r="Z2832" s="1701"/>
      <c r="AA2832" s="1701"/>
      <c r="AB2832" s="1701"/>
      <c r="AC2832" s="1701"/>
      <c r="AD2832" s="1701"/>
      <c r="AE2832" s="1701"/>
      <c r="AF2832" s="1701"/>
      <c r="AG2832" s="1701"/>
      <c r="AH2832" s="1701"/>
      <c r="AI2832" s="1701"/>
      <c r="AJ2832" s="1701"/>
      <c r="AK2832" s="1701"/>
      <c r="AL2832" s="1701"/>
      <c r="AM2832" s="1701"/>
      <c r="AN2832" s="1701"/>
      <c r="AO2832" s="1701"/>
      <c r="AP2832" s="1701"/>
      <c r="AQ2832" s="1701"/>
      <c r="AR2832" s="1701"/>
      <c r="AS2832" s="1701"/>
      <c r="AT2832" s="1701"/>
      <c r="AU2832" s="1701"/>
      <c r="AV2832" s="1701"/>
      <c r="AW2832" s="1701"/>
      <c r="AX2832" s="1701"/>
      <c r="AY2832" s="1701"/>
      <c r="AZ2832" s="1701"/>
      <c r="BA2832" s="1701"/>
      <c r="BB2832" s="1701"/>
      <c r="BC2832" s="1701"/>
      <c r="BD2832" s="1701"/>
      <c r="BE2832" s="1701"/>
      <c r="BF2832" s="1701"/>
      <c r="BG2832" s="1701"/>
      <c r="BH2832" s="1701"/>
      <c r="BI2832" s="1701"/>
      <c r="BJ2832" s="1701"/>
      <c r="BK2832" s="1701"/>
      <c r="BL2832" s="1701"/>
      <c r="BM2832" s="1701"/>
      <c r="BN2832" s="1701"/>
      <c r="BO2832" s="1701"/>
      <c r="BP2832" s="1701"/>
      <c r="BQ2832" s="1701"/>
      <c r="BR2832" s="1701"/>
      <c r="BS2832" s="1701"/>
      <c r="BT2832" s="1701"/>
      <c r="BU2832" s="1701"/>
      <c r="BV2832" s="1701"/>
      <c r="BW2832" s="1701"/>
      <c r="BX2832" s="1701"/>
      <c r="BY2832" s="1701"/>
      <c r="BZ2832" s="1701"/>
      <c r="CA2832" s="1701"/>
      <c r="CB2832" s="1701"/>
      <c r="CC2832" s="1701"/>
      <c r="CD2832" s="1701"/>
      <c r="CE2832" s="1701"/>
      <c r="CF2832" s="1701"/>
      <c r="CG2832" s="1701"/>
      <c r="CH2832" s="1701"/>
      <c r="CI2832" s="1701"/>
      <c r="CJ2832" s="1701"/>
      <c r="CK2832" s="1701"/>
      <c r="CL2832" s="1701"/>
      <c r="CM2832" s="1701"/>
      <c r="CN2832" s="1701"/>
      <c r="CO2832" s="1701"/>
      <c r="CP2832" s="1701"/>
      <c r="CQ2832" s="1701"/>
      <c r="CR2832" s="1701"/>
      <c r="CS2832" s="1701"/>
      <c r="CT2832" s="1701"/>
      <c r="CU2832" s="1701"/>
      <c r="CV2832" s="1701"/>
      <c r="CW2832" s="1701"/>
      <c r="CX2832" s="1701"/>
      <c r="CY2832" s="1701"/>
      <c r="CZ2832" s="1701"/>
      <c r="DA2832" s="1701"/>
      <c r="DB2832" s="1701"/>
      <c r="DC2832" s="1701"/>
      <c r="DD2832" s="1701"/>
      <c r="DE2832" s="1701"/>
      <c r="DF2832" s="1701"/>
      <c r="DG2832" s="1701"/>
      <c r="DH2832" s="1701"/>
      <c r="DI2832" s="1701"/>
      <c r="DJ2832" s="1701"/>
      <c r="DK2832" s="1701"/>
      <c r="DL2832" s="1701"/>
      <c r="DM2832" s="1701"/>
      <c r="DN2832" s="1701"/>
      <c r="DO2832" s="1701"/>
      <c r="DP2832" s="1701"/>
      <c r="DQ2832" s="1701"/>
      <c r="DR2832" s="1701"/>
      <c r="DS2832" s="1701"/>
      <c r="DT2832" s="1701"/>
      <c r="DU2832" s="1701"/>
      <c r="DV2832" s="1701"/>
      <c r="DW2832" s="1701"/>
      <c r="DX2832" s="1701"/>
      <c r="DY2832" s="1701"/>
      <c r="DZ2832" s="1701"/>
      <c r="EA2832" s="1701"/>
      <c r="EB2832" s="1701"/>
      <c r="EC2832" s="1701"/>
      <c r="ED2832" s="1701"/>
      <c r="EE2832" s="1701"/>
      <c r="EF2832" s="1701"/>
      <c r="EG2832" s="1701"/>
      <c r="EH2832" s="1701"/>
      <c r="EI2832" s="1701"/>
      <c r="EJ2832" s="1701"/>
      <c r="EK2832" s="1701"/>
      <c r="EL2832" s="1701"/>
      <c r="EM2832" s="1701"/>
    </row>
    <row r="2834" spans="1:143" s="1703" customFormat="1">
      <c r="A2834" s="1701"/>
      <c r="B2834" s="1701"/>
      <c r="C2834" s="1704"/>
      <c r="D2834" s="1701"/>
      <c r="E2834" s="1701"/>
      <c r="I2834" s="1701"/>
      <c r="J2834" s="1702"/>
      <c r="K2834" s="1701"/>
      <c r="L2834" s="1701"/>
      <c r="M2834" s="1701"/>
      <c r="N2834" s="1701"/>
      <c r="O2834" s="1701"/>
      <c r="P2834" s="1701"/>
      <c r="Q2834" s="1701"/>
      <c r="R2834" s="1701"/>
      <c r="S2834" s="1701"/>
      <c r="T2834" s="1701"/>
      <c r="U2834" s="1701"/>
      <c r="V2834" s="1701"/>
      <c r="W2834" s="1701"/>
      <c r="X2834" s="1701"/>
      <c r="Y2834" s="1701"/>
      <c r="Z2834" s="1701"/>
      <c r="AA2834" s="1701"/>
      <c r="AB2834" s="1701"/>
      <c r="AC2834" s="1701"/>
      <c r="AD2834" s="1701"/>
      <c r="AE2834" s="1701"/>
      <c r="AF2834" s="1701"/>
      <c r="AG2834" s="1701"/>
      <c r="AH2834" s="1701"/>
      <c r="AI2834" s="1701"/>
      <c r="AJ2834" s="1701"/>
      <c r="AK2834" s="1701"/>
      <c r="AL2834" s="1701"/>
      <c r="AM2834" s="1701"/>
      <c r="AN2834" s="1701"/>
      <c r="AO2834" s="1701"/>
      <c r="AP2834" s="1701"/>
      <c r="AQ2834" s="1701"/>
      <c r="AR2834" s="1701"/>
      <c r="AS2834" s="1701"/>
      <c r="AT2834" s="1701"/>
      <c r="AU2834" s="1701"/>
      <c r="AV2834" s="1701"/>
      <c r="AW2834" s="1701"/>
      <c r="AX2834" s="1701"/>
      <c r="AY2834" s="1701"/>
      <c r="AZ2834" s="1701"/>
      <c r="BA2834" s="1701"/>
      <c r="BB2834" s="1701"/>
      <c r="BC2834" s="1701"/>
      <c r="BD2834" s="1701"/>
      <c r="BE2834" s="1701"/>
      <c r="BF2834" s="1701"/>
      <c r="BG2834" s="1701"/>
      <c r="BH2834" s="1701"/>
      <c r="BI2834" s="1701"/>
      <c r="BJ2834" s="1701"/>
      <c r="BK2834" s="1701"/>
      <c r="BL2834" s="1701"/>
      <c r="BM2834" s="1701"/>
      <c r="BN2834" s="1701"/>
      <c r="BO2834" s="1701"/>
      <c r="BP2834" s="1701"/>
      <c r="BQ2834" s="1701"/>
      <c r="BR2834" s="1701"/>
      <c r="BS2834" s="1701"/>
      <c r="BT2834" s="1701"/>
      <c r="BU2834" s="1701"/>
      <c r="BV2834" s="1701"/>
      <c r="BW2834" s="1701"/>
      <c r="BX2834" s="1701"/>
      <c r="BY2834" s="1701"/>
      <c r="BZ2834" s="1701"/>
      <c r="CA2834" s="1701"/>
      <c r="CB2834" s="1701"/>
      <c r="CC2834" s="1701"/>
      <c r="CD2834" s="1701"/>
      <c r="CE2834" s="1701"/>
      <c r="CF2834" s="1701"/>
      <c r="CG2834" s="1701"/>
      <c r="CH2834" s="1701"/>
      <c r="CI2834" s="1701"/>
      <c r="CJ2834" s="1701"/>
      <c r="CK2834" s="1701"/>
      <c r="CL2834" s="1701"/>
      <c r="CM2834" s="1701"/>
      <c r="CN2834" s="1701"/>
      <c r="CO2834" s="1701"/>
      <c r="CP2834" s="1701"/>
      <c r="CQ2834" s="1701"/>
      <c r="CR2834" s="1701"/>
      <c r="CS2834" s="1701"/>
      <c r="CT2834" s="1701"/>
      <c r="CU2834" s="1701"/>
      <c r="CV2834" s="1701"/>
      <c r="CW2834" s="1701"/>
      <c r="CX2834" s="1701"/>
      <c r="CY2834" s="1701"/>
      <c r="CZ2834" s="1701"/>
      <c r="DA2834" s="1701"/>
      <c r="DB2834" s="1701"/>
      <c r="DC2834" s="1701"/>
      <c r="DD2834" s="1701"/>
      <c r="DE2834" s="1701"/>
      <c r="DF2834" s="1701"/>
      <c r="DG2834" s="1701"/>
      <c r="DH2834" s="1701"/>
      <c r="DI2834" s="1701"/>
      <c r="DJ2834" s="1701"/>
      <c r="DK2834" s="1701"/>
      <c r="DL2834" s="1701"/>
      <c r="DM2834" s="1701"/>
      <c r="DN2834" s="1701"/>
      <c r="DO2834" s="1701"/>
      <c r="DP2834" s="1701"/>
      <c r="DQ2834" s="1701"/>
      <c r="DR2834" s="1701"/>
      <c r="DS2834" s="1701"/>
      <c r="DT2834" s="1701"/>
      <c r="DU2834" s="1701"/>
      <c r="DV2834" s="1701"/>
      <c r="DW2834" s="1701"/>
      <c r="DX2834" s="1701"/>
      <c r="DY2834" s="1701"/>
      <c r="DZ2834" s="1701"/>
      <c r="EA2834" s="1701"/>
      <c r="EB2834" s="1701"/>
      <c r="EC2834" s="1701"/>
      <c r="ED2834" s="1701"/>
      <c r="EE2834" s="1701"/>
      <c r="EF2834" s="1701"/>
      <c r="EG2834" s="1701"/>
      <c r="EH2834" s="1701"/>
      <c r="EI2834" s="1701"/>
      <c r="EJ2834" s="1701"/>
      <c r="EK2834" s="1701"/>
      <c r="EL2834" s="1701"/>
      <c r="EM2834" s="1701"/>
    </row>
    <row r="2836" spans="1:143" s="1703" customFormat="1">
      <c r="A2836" s="1701"/>
      <c r="B2836" s="1701"/>
      <c r="C2836" s="1704"/>
      <c r="D2836" s="1701"/>
      <c r="E2836" s="1701"/>
      <c r="I2836" s="1701"/>
      <c r="J2836" s="1702"/>
      <c r="K2836" s="1701"/>
      <c r="L2836" s="1701"/>
      <c r="M2836" s="1701"/>
      <c r="N2836" s="1701"/>
      <c r="O2836" s="1701"/>
      <c r="P2836" s="1701"/>
      <c r="Q2836" s="1701"/>
      <c r="R2836" s="1701"/>
      <c r="S2836" s="1701"/>
      <c r="T2836" s="1701"/>
      <c r="U2836" s="1701"/>
      <c r="V2836" s="1701"/>
      <c r="W2836" s="1701"/>
      <c r="X2836" s="1701"/>
      <c r="Y2836" s="1701"/>
      <c r="Z2836" s="1701"/>
      <c r="AA2836" s="1701"/>
      <c r="AB2836" s="1701"/>
      <c r="AC2836" s="1701"/>
      <c r="AD2836" s="1701"/>
      <c r="AE2836" s="1701"/>
      <c r="AF2836" s="1701"/>
      <c r="AG2836" s="1701"/>
      <c r="AH2836" s="1701"/>
      <c r="AI2836" s="1701"/>
      <c r="AJ2836" s="1701"/>
      <c r="AK2836" s="1701"/>
      <c r="AL2836" s="1701"/>
      <c r="AM2836" s="1701"/>
      <c r="AN2836" s="1701"/>
      <c r="AO2836" s="1701"/>
      <c r="AP2836" s="1701"/>
      <c r="AQ2836" s="1701"/>
      <c r="AR2836" s="1701"/>
      <c r="AS2836" s="1701"/>
      <c r="AT2836" s="1701"/>
      <c r="AU2836" s="1701"/>
      <c r="AV2836" s="1701"/>
      <c r="AW2836" s="1701"/>
      <c r="AX2836" s="1701"/>
      <c r="AY2836" s="1701"/>
      <c r="AZ2836" s="1701"/>
      <c r="BA2836" s="1701"/>
      <c r="BB2836" s="1701"/>
      <c r="BC2836" s="1701"/>
      <c r="BD2836" s="1701"/>
      <c r="BE2836" s="1701"/>
      <c r="BF2836" s="1701"/>
      <c r="BG2836" s="1701"/>
      <c r="BH2836" s="1701"/>
      <c r="BI2836" s="1701"/>
      <c r="BJ2836" s="1701"/>
      <c r="BK2836" s="1701"/>
      <c r="BL2836" s="1701"/>
      <c r="BM2836" s="1701"/>
      <c r="BN2836" s="1701"/>
      <c r="BO2836" s="1701"/>
      <c r="BP2836" s="1701"/>
      <c r="BQ2836" s="1701"/>
      <c r="BR2836" s="1701"/>
      <c r="BS2836" s="1701"/>
      <c r="BT2836" s="1701"/>
      <c r="BU2836" s="1701"/>
      <c r="BV2836" s="1701"/>
      <c r="BW2836" s="1701"/>
      <c r="BX2836" s="1701"/>
      <c r="BY2836" s="1701"/>
      <c r="BZ2836" s="1701"/>
      <c r="CA2836" s="1701"/>
      <c r="CB2836" s="1701"/>
      <c r="CC2836" s="1701"/>
      <c r="CD2836" s="1701"/>
      <c r="CE2836" s="1701"/>
      <c r="CF2836" s="1701"/>
      <c r="CG2836" s="1701"/>
      <c r="CH2836" s="1701"/>
      <c r="CI2836" s="1701"/>
      <c r="CJ2836" s="1701"/>
      <c r="CK2836" s="1701"/>
      <c r="CL2836" s="1701"/>
      <c r="CM2836" s="1701"/>
      <c r="CN2836" s="1701"/>
      <c r="CO2836" s="1701"/>
      <c r="CP2836" s="1701"/>
      <c r="CQ2836" s="1701"/>
      <c r="CR2836" s="1701"/>
      <c r="CS2836" s="1701"/>
      <c r="CT2836" s="1701"/>
      <c r="CU2836" s="1701"/>
      <c r="CV2836" s="1701"/>
      <c r="CW2836" s="1701"/>
      <c r="CX2836" s="1701"/>
      <c r="CY2836" s="1701"/>
      <c r="CZ2836" s="1701"/>
      <c r="DA2836" s="1701"/>
      <c r="DB2836" s="1701"/>
      <c r="DC2836" s="1701"/>
      <c r="DD2836" s="1701"/>
      <c r="DE2836" s="1701"/>
      <c r="DF2836" s="1701"/>
      <c r="DG2836" s="1701"/>
      <c r="DH2836" s="1701"/>
      <c r="DI2836" s="1701"/>
      <c r="DJ2836" s="1701"/>
      <c r="DK2836" s="1701"/>
      <c r="DL2836" s="1701"/>
      <c r="DM2836" s="1701"/>
      <c r="DN2836" s="1701"/>
      <c r="DO2836" s="1701"/>
      <c r="DP2836" s="1701"/>
      <c r="DQ2836" s="1701"/>
      <c r="DR2836" s="1701"/>
      <c r="DS2836" s="1701"/>
      <c r="DT2836" s="1701"/>
      <c r="DU2836" s="1701"/>
      <c r="DV2836" s="1701"/>
      <c r="DW2836" s="1701"/>
      <c r="DX2836" s="1701"/>
      <c r="DY2836" s="1701"/>
      <c r="DZ2836" s="1701"/>
      <c r="EA2836" s="1701"/>
      <c r="EB2836" s="1701"/>
      <c r="EC2836" s="1701"/>
      <c r="ED2836" s="1701"/>
      <c r="EE2836" s="1701"/>
      <c r="EF2836" s="1701"/>
      <c r="EG2836" s="1701"/>
      <c r="EH2836" s="1701"/>
      <c r="EI2836" s="1701"/>
      <c r="EJ2836" s="1701"/>
      <c r="EK2836" s="1701"/>
      <c r="EL2836" s="1701"/>
      <c r="EM2836" s="1701"/>
    </row>
    <row r="2838" spans="1:143">
      <c r="C2838" s="1704"/>
    </row>
    <row r="2840" spans="1:143">
      <c r="C2840" s="1704"/>
    </row>
    <row r="2842" spans="1:143">
      <c r="C2842" s="1704"/>
    </row>
    <row r="2844" spans="1:143">
      <c r="C2844" s="1704"/>
    </row>
    <row r="2846" spans="1:143">
      <c r="C2846" s="1704"/>
    </row>
  </sheetData>
  <sheetProtection algorithmName="SHA-512" hashValue="QWCNwrlupVegj2eGS14MODCUet66YSO3xahgnrKk1md/BuO3I7cR8dPTDfW841VV9lIHCvdIByyDQNZXV/3IuA==" saltValue="8Rj4XVQJEqKsa9Vqhr4Zug==" spinCount="100000" sheet="1" objects="1" scenarios="1"/>
  <mergeCells count="757">
    <mergeCell ref="A4:H4"/>
    <mergeCell ref="B11:B13"/>
    <mergeCell ref="C11:D11"/>
    <mergeCell ref="C12:D12"/>
    <mergeCell ref="C13:D13"/>
    <mergeCell ref="C21:D21"/>
    <mergeCell ref="B73:B101"/>
    <mergeCell ref="C73:D73"/>
    <mergeCell ref="C92:D92"/>
    <mergeCell ref="C95:D95"/>
    <mergeCell ref="C96:D96"/>
    <mergeCell ref="C100:D100"/>
    <mergeCell ref="C74:D74"/>
    <mergeCell ref="C75:D75"/>
    <mergeCell ref="C81:D81"/>
    <mergeCell ref="C91:D91"/>
    <mergeCell ref="C40:D40"/>
    <mergeCell ref="C41:D41"/>
    <mergeCell ref="C43:D43"/>
    <mergeCell ref="C44:D44"/>
    <mergeCell ref="C45:D45"/>
    <mergeCell ref="C48:D48"/>
    <mergeCell ref="C103:D103"/>
    <mergeCell ref="C104:D104"/>
    <mergeCell ref="C49:D49"/>
    <mergeCell ref="C50:D50"/>
    <mergeCell ref="C57:D57"/>
    <mergeCell ref="C70:D70"/>
    <mergeCell ref="C141:D141"/>
    <mergeCell ref="C142:D142"/>
    <mergeCell ref="C143:D143"/>
    <mergeCell ref="C146:D146"/>
    <mergeCell ref="C147:D147"/>
    <mergeCell ref="B150:B155"/>
    <mergeCell ref="C150:D150"/>
    <mergeCell ref="C151:D151"/>
    <mergeCell ref="C152:D152"/>
    <mergeCell ref="C170:D170"/>
    <mergeCell ref="C181:D181"/>
    <mergeCell ref="C219:D219"/>
    <mergeCell ref="C157:D157"/>
    <mergeCell ref="C158:D158"/>
    <mergeCell ref="C161:D161"/>
    <mergeCell ref="C162:D162"/>
    <mergeCell ref="C163:D163"/>
    <mergeCell ref="C169:D169"/>
    <mergeCell ref="B186:B190"/>
    <mergeCell ref="C186:D186"/>
    <mergeCell ref="C187:D187"/>
    <mergeCell ref="C259:D259"/>
    <mergeCell ref="C264:D264"/>
    <mergeCell ref="C265:D265"/>
    <mergeCell ref="C271:D271"/>
    <mergeCell ref="C220:D220"/>
    <mergeCell ref="C226:D226"/>
    <mergeCell ref="C240:D240"/>
    <mergeCell ref="C241:D241"/>
    <mergeCell ref="C242:D242"/>
    <mergeCell ref="C251:D251"/>
    <mergeCell ref="C252:D252"/>
    <mergeCell ref="C253:D253"/>
    <mergeCell ref="C276:D276"/>
    <mergeCell ref="C277:D277"/>
    <mergeCell ref="C278:D278"/>
    <mergeCell ref="C282:D282"/>
    <mergeCell ref="C285:D285"/>
    <mergeCell ref="C286:D286"/>
    <mergeCell ref="C296:D296"/>
    <mergeCell ref="C306:D306"/>
    <mergeCell ref="C307:D307"/>
    <mergeCell ref="C308:D308"/>
    <mergeCell ref="C311:D311"/>
    <mergeCell ref="B318:B321"/>
    <mergeCell ref="C318:D318"/>
    <mergeCell ref="C319:D319"/>
    <mergeCell ref="C320:D320"/>
    <mergeCell ref="C323:D323"/>
    <mergeCell ref="C325:D325"/>
    <mergeCell ref="C327:D327"/>
    <mergeCell ref="C328:D328"/>
    <mergeCell ref="C329:D329"/>
    <mergeCell ref="C336:D336"/>
    <mergeCell ref="C337:D337"/>
    <mergeCell ref="C362:D362"/>
    <mergeCell ref="C365:D365"/>
    <mergeCell ref="C368:D368"/>
    <mergeCell ref="C369:D369"/>
    <mergeCell ref="C386:D386"/>
    <mergeCell ref="C399:D399"/>
    <mergeCell ref="C400:D400"/>
    <mergeCell ref="C403:D403"/>
    <mergeCell ref="C404:D404"/>
    <mergeCell ref="B407:B409"/>
    <mergeCell ref="C407:D407"/>
    <mergeCell ref="C408:D408"/>
    <mergeCell ref="C411:D411"/>
    <mergeCell ref="C412:D412"/>
    <mergeCell ref="B415:B421"/>
    <mergeCell ref="C415:D415"/>
    <mergeCell ref="C416:D416"/>
    <mergeCell ref="C419:D419"/>
    <mergeCell ref="C420:D420"/>
    <mergeCell ref="C423:D423"/>
    <mergeCell ref="C424:D424"/>
    <mergeCell ref="C425:D425"/>
    <mergeCell ref="C426:D426"/>
    <mergeCell ref="C429:D429"/>
    <mergeCell ref="C431:D431"/>
    <mergeCell ref="C432:D432"/>
    <mergeCell ref="B436:B458"/>
    <mergeCell ref="C436:D436"/>
    <mergeCell ref="C437:D437"/>
    <mergeCell ref="C438:D438"/>
    <mergeCell ref="C445:D445"/>
    <mergeCell ref="C450:D450"/>
    <mergeCell ref="C453:D453"/>
    <mergeCell ref="C454:D454"/>
    <mergeCell ref="C456:D456"/>
    <mergeCell ref="C457:D457"/>
    <mergeCell ref="C461:D461"/>
    <mergeCell ref="C462:D462"/>
    <mergeCell ref="C463:D463"/>
    <mergeCell ref="C469:D469"/>
    <mergeCell ref="C472:D472"/>
    <mergeCell ref="C491:D491"/>
    <mergeCell ref="C492:D492"/>
    <mergeCell ref="C493:D493"/>
    <mergeCell ref="C496:D496"/>
    <mergeCell ref="C497:D497"/>
    <mergeCell ref="C498:D498"/>
    <mergeCell ref="C505:D505"/>
    <mergeCell ref="C506:D506"/>
    <mergeCell ref="C515:D515"/>
    <mergeCell ref="C518:D518"/>
    <mergeCell ref="C537:D537"/>
    <mergeCell ref="C538:D538"/>
    <mergeCell ref="C543:D543"/>
    <mergeCell ref="C544:D544"/>
    <mergeCell ref="C545:D545"/>
    <mergeCell ref="C559:D559"/>
    <mergeCell ref="C562:D562"/>
    <mergeCell ref="C563:D563"/>
    <mergeCell ref="C571:D571"/>
    <mergeCell ref="C572:D572"/>
    <mergeCell ref="C575:D575"/>
    <mergeCell ref="C576:D576"/>
    <mergeCell ref="C582:D582"/>
    <mergeCell ref="C583:D583"/>
    <mergeCell ref="C584:D584"/>
    <mergeCell ref="C592:D592"/>
    <mergeCell ref="C611:D611"/>
    <mergeCell ref="C613:D613"/>
    <mergeCell ref="C614:D614"/>
    <mergeCell ref="C615:D615"/>
    <mergeCell ref="B661:B663"/>
    <mergeCell ref="C661:D661"/>
    <mergeCell ref="C662:D662"/>
    <mergeCell ref="C618:D618"/>
    <mergeCell ref="C619:D619"/>
    <mergeCell ref="C622:D622"/>
    <mergeCell ref="C623:D623"/>
    <mergeCell ref="C624:D624"/>
    <mergeCell ref="C632:D632"/>
    <mergeCell ref="C675:D675"/>
    <mergeCell ref="C676:D676"/>
    <mergeCell ref="C647:D647"/>
    <mergeCell ref="C650:D650"/>
    <mergeCell ref="C657:D657"/>
    <mergeCell ref="C658:D658"/>
    <mergeCell ref="C665:D665"/>
    <mergeCell ref="C666:D666"/>
    <mergeCell ref="B668:B670"/>
    <mergeCell ref="C668:D668"/>
    <mergeCell ref="C669:D669"/>
    <mergeCell ref="C674:D674"/>
    <mergeCell ref="C690:D690"/>
    <mergeCell ref="C696:D696"/>
    <mergeCell ref="C697:D697"/>
    <mergeCell ref="C707:D707"/>
    <mergeCell ref="C708:D708"/>
    <mergeCell ref="C718:D718"/>
    <mergeCell ref="C719:D719"/>
    <mergeCell ref="B722:B729"/>
    <mergeCell ref="C722:D722"/>
    <mergeCell ref="C723:D723"/>
    <mergeCell ref="C724:D724"/>
    <mergeCell ref="C727:D727"/>
    <mergeCell ref="C728:D728"/>
    <mergeCell ref="B731:B742"/>
    <mergeCell ref="C731:D731"/>
    <mergeCell ref="C732:D732"/>
    <mergeCell ref="C733:D733"/>
    <mergeCell ref="C736:D736"/>
    <mergeCell ref="C742:D742"/>
    <mergeCell ref="C780:D780"/>
    <mergeCell ref="C781:D781"/>
    <mergeCell ref="C782:D782"/>
    <mergeCell ref="C788:D788"/>
    <mergeCell ref="B794:B798"/>
    <mergeCell ref="C794:D794"/>
    <mergeCell ref="C795:D795"/>
    <mergeCell ref="C796:D796"/>
    <mergeCell ref="C804:D804"/>
    <mergeCell ref="C808:D808"/>
    <mergeCell ref="C812:D812"/>
    <mergeCell ref="C813:D813"/>
    <mergeCell ref="C814:D814"/>
    <mergeCell ref="C817:D817"/>
    <mergeCell ref="C824:D824"/>
    <mergeCell ref="C826:D826"/>
    <mergeCell ref="C827:D827"/>
    <mergeCell ref="C828:D828"/>
    <mergeCell ref="C831:D831"/>
    <mergeCell ref="C832:D832"/>
    <mergeCell ref="C833:D833"/>
    <mergeCell ref="C841:D841"/>
    <mergeCell ref="C866:D866"/>
    <mergeCell ref="C870:D870"/>
    <mergeCell ref="C916:D916"/>
    <mergeCell ref="C917:D917"/>
    <mergeCell ref="B921:B935"/>
    <mergeCell ref="C927:D927"/>
    <mergeCell ref="C938:D938"/>
    <mergeCell ref="C939:D939"/>
    <mergeCell ref="B942:B946"/>
    <mergeCell ref="C942:D942"/>
    <mergeCell ref="C943:D943"/>
    <mergeCell ref="C944:D944"/>
    <mergeCell ref="C949:D949"/>
    <mergeCell ref="C953:D953"/>
    <mergeCell ref="C954:D954"/>
    <mergeCell ref="C955:D955"/>
    <mergeCell ref="C960:D960"/>
    <mergeCell ref="C970:D970"/>
    <mergeCell ref="C974:D974"/>
    <mergeCell ref="C1012:D1012"/>
    <mergeCell ref="C1013:D1013"/>
    <mergeCell ref="C1020:D1020"/>
    <mergeCell ref="B1026:B1035"/>
    <mergeCell ref="C1026:D1026"/>
    <mergeCell ref="C1027:D1027"/>
    <mergeCell ref="C1028:D1028"/>
    <mergeCell ref="C1031:D1031"/>
    <mergeCell ref="C1037:D1037"/>
    <mergeCell ref="C1038:D1038"/>
    <mergeCell ref="C1041:D1041"/>
    <mergeCell ref="C1042:D1042"/>
    <mergeCell ref="C1043:D1043"/>
    <mergeCell ref="C1049:D1049"/>
    <mergeCell ref="C1057:D1057"/>
    <mergeCell ref="A1059:A1060"/>
    <mergeCell ref="C1060:D1060"/>
    <mergeCell ref="C1061:D1061"/>
    <mergeCell ref="C1062:D1062"/>
    <mergeCell ref="C1070:D1070"/>
    <mergeCell ref="C1086:D1086"/>
    <mergeCell ref="C1091:D1091"/>
    <mergeCell ref="C1093:D1093"/>
    <mergeCell ref="C1094:D1094"/>
    <mergeCell ref="C1160:D1160"/>
    <mergeCell ref="C1161:D1161"/>
    <mergeCell ref="C1178:D1178"/>
    <mergeCell ref="C1179:D1179"/>
    <mergeCell ref="C1182:D1182"/>
    <mergeCell ref="C1199:D1199"/>
    <mergeCell ref="C1200:D1200"/>
    <mergeCell ref="C1201:D1201"/>
    <mergeCell ref="C1207:D1207"/>
    <mergeCell ref="C1208:D1208"/>
    <mergeCell ref="B1210:B1212"/>
    <mergeCell ref="C1210:D1210"/>
    <mergeCell ref="C1211:D1211"/>
    <mergeCell ref="B1214:B1220"/>
    <mergeCell ref="C1214:D1214"/>
    <mergeCell ref="C1215:D1215"/>
    <mergeCell ref="C1217:D1217"/>
    <mergeCell ref="C1218:D1218"/>
    <mergeCell ref="C1219:D1219"/>
    <mergeCell ref="B1222:B1224"/>
    <mergeCell ref="C1222:D1222"/>
    <mergeCell ref="C1223:D1223"/>
    <mergeCell ref="C1226:D1226"/>
    <mergeCell ref="C1227:D1227"/>
    <mergeCell ref="C1229:D1229"/>
    <mergeCell ref="C1230:D1230"/>
    <mergeCell ref="C1231:D1231"/>
    <mergeCell ref="B1234:B1236"/>
    <mergeCell ref="C1234:D1234"/>
    <mergeCell ref="C1235:D1235"/>
    <mergeCell ref="C1237:D1237"/>
    <mergeCell ref="C1238:D1238"/>
    <mergeCell ref="C1241:D1241"/>
    <mergeCell ref="C1242:D1242"/>
    <mergeCell ref="C1243:D1243"/>
    <mergeCell ref="C1247:D1247"/>
    <mergeCell ref="C1254:D1254"/>
    <mergeCell ref="C1255:D1255"/>
    <mergeCell ref="C1260:D1260"/>
    <mergeCell ref="C1261:D1261"/>
    <mergeCell ref="B1265:B1267"/>
    <mergeCell ref="C1265:D1265"/>
    <mergeCell ref="C1266:D1266"/>
    <mergeCell ref="B1269:B1271"/>
    <mergeCell ref="C1269:D1269"/>
    <mergeCell ref="C1270:D1270"/>
    <mergeCell ref="C1274:D1274"/>
    <mergeCell ref="C1275:D1275"/>
    <mergeCell ref="C1276:D1276"/>
    <mergeCell ref="C1279:D1279"/>
    <mergeCell ref="C1280:D1280"/>
    <mergeCell ref="B1284:B1290"/>
    <mergeCell ref="C1284:D1284"/>
    <mergeCell ref="C1285:D1285"/>
    <mergeCell ref="C1287:D1287"/>
    <mergeCell ref="C1288:D1288"/>
    <mergeCell ref="C1289:D1289"/>
    <mergeCell ref="C1292:D1292"/>
    <mergeCell ref="C1293:D1293"/>
    <mergeCell ref="C1294:D1294"/>
    <mergeCell ref="C1304:D1304"/>
    <mergeCell ref="B1319:B1322"/>
    <mergeCell ref="C1321:D1321"/>
    <mergeCell ref="C1324:D1324"/>
    <mergeCell ref="C1325:D1325"/>
    <mergeCell ref="C1328:D1328"/>
    <mergeCell ref="C1329:D1329"/>
    <mergeCell ref="C1331:D1331"/>
    <mergeCell ref="C1332:D1332"/>
    <mergeCell ref="B1335:B1350"/>
    <mergeCell ref="C1335:D1335"/>
    <mergeCell ref="C1336:D1336"/>
    <mergeCell ref="C1337:D1337"/>
    <mergeCell ref="C1343:D1343"/>
    <mergeCell ref="C1349:D1349"/>
    <mergeCell ref="C1352:D1352"/>
    <mergeCell ref="C1353:D1353"/>
    <mergeCell ref="C1354:D1354"/>
    <mergeCell ref="C1357:D1357"/>
    <mergeCell ref="C1358:D1358"/>
    <mergeCell ref="C1359:D1359"/>
    <mergeCell ref="C1368:D1368"/>
    <mergeCell ref="C1374:D1374"/>
    <mergeCell ref="C1377:D1377"/>
    <mergeCell ref="C1378:D1378"/>
    <mergeCell ref="C1379:D1379"/>
    <mergeCell ref="C1389:D1389"/>
    <mergeCell ref="C1409:D1409"/>
    <mergeCell ref="C1412:D1412"/>
    <mergeCell ref="C1416:D1416"/>
    <mergeCell ref="C1434:D1434"/>
    <mergeCell ref="C1435:D1435"/>
    <mergeCell ref="C1439:D1439"/>
    <mergeCell ref="C1440:D1440"/>
    <mergeCell ref="C1441:D1441"/>
    <mergeCell ref="C1451:D1451"/>
    <mergeCell ref="C1465:D1465"/>
    <mergeCell ref="C1468:D1468"/>
    <mergeCell ref="C1515:D1515"/>
    <mergeCell ref="C1516:D1516"/>
    <mergeCell ref="C1522:D1522"/>
    <mergeCell ref="C1526:D1526"/>
    <mergeCell ref="C1527:D1527"/>
    <mergeCell ref="C1528:D1528"/>
    <mergeCell ref="C1538:D1538"/>
    <mergeCell ref="C1557:D1557"/>
    <mergeCell ref="C1560:D1560"/>
    <mergeCell ref="C1566:D1566"/>
    <mergeCell ref="C1567:D1567"/>
    <mergeCell ref="C1574:D1574"/>
    <mergeCell ref="C1580:D1580"/>
    <mergeCell ref="C1581:D1581"/>
    <mergeCell ref="C1582:D1582"/>
    <mergeCell ref="C1588:D1588"/>
    <mergeCell ref="C1594:D1594"/>
    <mergeCell ref="C1607:D1607"/>
    <mergeCell ref="C1608:D1608"/>
    <mergeCell ref="C1612:D1612"/>
    <mergeCell ref="C1613:D1613"/>
    <mergeCell ref="C1614:D1614"/>
    <mergeCell ref="C1622:D1622"/>
    <mergeCell ref="C1630:D1630"/>
    <mergeCell ref="C1638:D1638"/>
    <mergeCell ref="C1643:D1643"/>
    <mergeCell ref="C1656:D1656"/>
    <mergeCell ref="C1657:D1657"/>
    <mergeCell ref="B1665:B1675"/>
    <mergeCell ref="C1665:D1665"/>
    <mergeCell ref="C1666:D1666"/>
    <mergeCell ref="C1667:D1667"/>
    <mergeCell ref="C1671:D1671"/>
    <mergeCell ref="C1674:D1674"/>
    <mergeCell ref="B1677:B1680"/>
    <mergeCell ref="C1677:D1677"/>
    <mergeCell ref="C1678:D1678"/>
    <mergeCell ref="C1679:D1679"/>
    <mergeCell ref="C1681:D1681"/>
    <mergeCell ref="C1682:D1682"/>
    <mergeCell ref="C1686:D1686"/>
    <mergeCell ref="C1687:D1687"/>
    <mergeCell ref="C1692:D1692"/>
    <mergeCell ref="C1693:D1693"/>
    <mergeCell ref="C1694:D1694"/>
    <mergeCell ref="C1697:D1697"/>
    <mergeCell ref="C1701:D1701"/>
    <mergeCell ref="C1702:D1702"/>
    <mergeCell ref="C1708:D1708"/>
    <mergeCell ref="C1709:D1709"/>
    <mergeCell ref="C1712:D1712"/>
    <mergeCell ref="C1713:D1713"/>
    <mergeCell ref="C1714:D1714"/>
    <mergeCell ref="C1717:D1717"/>
    <mergeCell ref="C1720:D1720"/>
    <mergeCell ref="C1721:D1721"/>
    <mergeCell ref="C1724:D1724"/>
    <mergeCell ref="C1725:D1725"/>
    <mergeCell ref="B1728:B1730"/>
    <mergeCell ref="C1728:D1728"/>
    <mergeCell ref="C1729:D1729"/>
    <mergeCell ref="C1732:D1732"/>
    <mergeCell ref="C1733:D1733"/>
    <mergeCell ref="C1735:D1735"/>
    <mergeCell ref="B1736:B1738"/>
    <mergeCell ref="C1736:D1736"/>
    <mergeCell ref="C1737:D1737"/>
    <mergeCell ref="C1740:D1740"/>
    <mergeCell ref="C1741:D1741"/>
    <mergeCell ref="B1742:B1746"/>
    <mergeCell ref="C1742:D1742"/>
    <mergeCell ref="C1745:D1745"/>
    <mergeCell ref="C1748:D1748"/>
    <mergeCell ref="C1749:D1749"/>
    <mergeCell ref="C1752:D1752"/>
    <mergeCell ref="C1753:D1753"/>
    <mergeCell ref="C1754:D1754"/>
    <mergeCell ref="B1757:B1759"/>
    <mergeCell ref="C1757:D1757"/>
    <mergeCell ref="C1758:D1758"/>
    <mergeCell ref="C1761:D1761"/>
    <mergeCell ref="C1762:D1762"/>
    <mergeCell ref="C1763:D1763"/>
    <mergeCell ref="C1768:D1768"/>
    <mergeCell ref="B1771:B1773"/>
    <mergeCell ref="C1771:D1771"/>
    <mergeCell ref="C1772:D1772"/>
    <mergeCell ref="B1775:B1778"/>
    <mergeCell ref="C1775:D1775"/>
    <mergeCell ref="C1776:D1776"/>
    <mergeCell ref="C1777:D1777"/>
    <mergeCell ref="C1780:D1780"/>
    <mergeCell ref="C1781:D1781"/>
    <mergeCell ref="C1782:D1782"/>
    <mergeCell ref="C1788:D1788"/>
    <mergeCell ref="C1791:D1791"/>
    <mergeCell ref="C1792:D1792"/>
    <mergeCell ref="C1793:D1793"/>
    <mergeCell ref="C1796:D1796"/>
    <mergeCell ref="C1798:D1798"/>
    <mergeCell ref="C1799:D1799"/>
    <mergeCell ref="C1802:D1802"/>
    <mergeCell ref="C1803:D1803"/>
    <mergeCell ref="C1808:D1808"/>
    <mergeCell ref="C1809:D1809"/>
    <mergeCell ref="C1810:D1810"/>
    <mergeCell ref="C1814:D1814"/>
    <mergeCell ref="B1819:B1825"/>
    <mergeCell ref="C1819:D1819"/>
    <mergeCell ref="C1820:D1820"/>
    <mergeCell ref="C1821:D1821"/>
    <mergeCell ref="C1823:D1823"/>
    <mergeCell ref="C1824:D1824"/>
    <mergeCell ref="B1827:B1829"/>
    <mergeCell ref="C1827:D1827"/>
    <mergeCell ref="C1828:D1828"/>
    <mergeCell ref="B1830:B1832"/>
    <mergeCell ref="C1830:D1830"/>
    <mergeCell ref="C1831:D1831"/>
    <mergeCell ref="C1834:D1834"/>
    <mergeCell ref="C1835:D1835"/>
    <mergeCell ref="C1836:D1836"/>
    <mergeCell ref="C1844:D1844"/>
    <mergeCell ref="C1867:D1867"/>
    <mergeCell ref="C1870:D1870"/>
    <mergeCell ref="C1873:D1873"/>
    <mergeCell ref="C1874:D1874"/>
    <mergeCell ref="C1878:D1878"/>
    <mergeCell ref="C1879:D1879"/>
    <mergeCell ref="C1880:D1880"/>
    <mergeCell ref="C1888:D1888"/>
    <mergeCell ref="C1911:D1911"/>
    <mergeCell ref="C1914:D1914"/>
    <mergeCell ref="C1916:D1916"/>
    <mergeCell ref="C1970:D1970"/>
    <mergeCell ref="C1971:D1971"/>
    <mergeCell ref="C1975:D1975"/>
    <mergeCell ref="C1976:D1976"/>
    <mergeCell ref="C1979:D1979"/>
    <mergeCell ref="C1980:D1980"/>
    <mergeCell ref="C1984:D1984"/>
    <mergeCell ref="C1985:D1985"/>
    <mergeCell ref="C1989:D1989"/>
    <mergeCell ref="C1990:D1990"/>
    <mergeCell ref="B1993:B1995"/>
    <mergeCell ref="C1993:D1993"/>
    <mergeCell ref="C1994:D1994"/>
    <mergeCell ref="C1997:D1997"/>
    <mergeCell ref="C1998:D1998"/>
    <mergeCell ref="C1999:D1999"/>
    <mergeCell ref="C2003:D2003"/>
    <mergeCell ref="C2004:D2004"/>
    <mergeCell ref="C2007:D2007"/>
    <mergeCell ref="C2008:D2008"/>
    <mergeCell ref="C2009:D2009"/>
    <mergeCell ref="C2015:D2015"/>
    <mergeCell ref="C2023:D2023"/>
    <mergeCell ref="C2088:D2088"/>
    <mergeCell ref="C2089:D2089"/>
    <mergeCell ref="C2096:D2096"/>
    <mergeCell ref="B2103:B2105"/>
    <mergeCell ref="C2103:D2103"/>
    <mergeCell ref="C2104:D2104"/>
    <mergeCell ref="C2110:D2110"/>
    <mergeCell ref="C2111:D2111"/>
    <mergeCell ref="C2114:D2114"/>
    <mergeCell ref="C2115:D2115"/>
    <mergeCell ref="C2116:D2116"/>
    <mergeCell ref="C2124:D2124"/>
    <mergeCell ref="C2145:D2145"/>
    <mergeCell ref="C2149:D2149"/>
    <mergeCell ref="C2194:D2194"/>
    <mergeCell ref="C2195:D2195"/>
    <mergeCell ref="C2201:D2201"/>
    <mergeCell ref="C2205:D2205"/>
    <mergeCell ref="C2206:D2206"/>
    <mergeCell ref="C2214:D2214"/>
    <mergeCell ref="C2233:D2233"/>
    <mergeCell ref="C2234:D2234"/>
    <mergeCell ref="C2235:D2235"/>
    <mergeCell ref="C2240:D2240"/>
    <mergeCell ref="C2241:D2241"/>
    <mergeCell ref="C2242:D2242"/>
    <mergeCell ref="C2251:D2251"/>
    <mergeCell ref="B2256:B2261"/>
    <mergeCell ref="C2260:D2260"/>
    <mergeCell ref="B2263:B2265"/>
    <mergeCell ref="C2263:D2263"/>
    <mergeCell ref="C2264:D2264"/>
    <mergeCell ref="C2287:D2287"/>
    <mergeCell ref="C2288:D2288"/>
    <mergeCell ref="C2289:D2289"/>
    <mergeCell ref="C2298:D2298"/>
    <mergeCell ref="B2304:B2310"/>
    <mergeCell ref="C2309:D2309"/>
    <mergeCell ref="C2311:D2311"/>
    <mergeCell ref="C2312:D2312"/>
    <mergeCell ref="C2313:D2313"/>
    <mergeCell ref="C2316:D2316"/>
    <mergeCell ref="C2317:D2317"/>
    <mergeCell ref="B2320:B2322"/>
    <mergeCell ref="C2320:D2320"/>
    <mergeCell ref="C2321:D2321"/>
    <mergeCell ref="C2325:D2325"/>
    <mergeCell ref="C2326:D2326"/>
    <mergeCell ref="C2327:D2327"/>
    <mergeCell ref="C2331:D2331"/>
    <mergeCell ref="C2332:D2332"/>
    <mergeCell ref="C2335:D2335"/>
    <mergeCell ref="C2351:D2351"/>
    <mergeCell ref="C2352:D2352"/>
    <mergeCell ref="C2370:D2370"/>
    <mergeCell ref="C2371:D2371"/>
    <mergeCell ref="C2372:D2372"/>
    <mergeCell ref="C2376:D2376"/>
    <mergeCell ref="C2377:D2377"/>
    <mergeCell ref="C2382:D2382"/>
    <mergeCell ref="C2383:D2383"/>
    <mergeCell ref="C2384:D2384"/>
    <mergeCell ref="C2392:D2392"/>
    <mergeCell ref="C2409:D2409"/>
    <mergeCell ref="C2412:D2412"/>
    <mergeCell ref="C2413:D2413"/>
    <mergeCell ref="C2414:D2414"/>
    <mergeCell ref="C2416:D2416"/>
    <mergeCell ref="C2417:D2417"/>
    <mergeCell ref="C2423:D2423"/>
    <mergeCell ref="C2424:D2424"/>
    <mergeCell ref="C2425:D2425"/>
    <mergeCell ref="B2430:B2432"/>
    <mergeCell ref="C2430:D2430"/>
    <mergeCell ref="C2431:D2431"/>
    <mergeCell ref="C2433:D2433"/>
    <mergeCell ref="C2434:D2434"/>
    <mergeCell ref="B2437:B2441"/>
    <mergeCell ref="C2437:D2437"/>
    <mergeCell ref="C2438:D2438"/>
    <mergeCell ref="C2439:D2439"/>
    <mergeCell ref="C2444:D2444"/>
    <mergeCell ref="C2447:D2447"/>
    <mergeCell ref="C2448:D2448"/>
    <mergeCell ref="C2449:D2449"/>
    <mergeCell ref="C2453:D2453"/>
    <mergeCell ref="C2454:D2454"/>
    <mergeCell ref="B2457:B2459"/>
    <mergeCell ref="C2457:D2457"/>
    <mergeCell ref="C2458:D2458"/>
    <mergeCell ref="B2461:B2470"/>
    <mergeCell ref="C2461:D2461"/>
    <mergeCell ref="C2462:D2462"/>
    <mergeCell ref="C2463:D2463"/>
    <mergeCell ref="C2468:D2468"/>
    <mergeCell ref="C2471:D2471"/>
    <mergeCell ref="C2472:D2472"/>
    <mergeCell ref="C2473:D2473"/>
    <mergeCell ref="B2476:B2484"/>
    <mergeCell ref="C2476:D2476"/>
    <mergeCell ref="C2477:D2477"/>
    <mergeCell ref="C2478:D2478"/>
    <mergeCell ref="C2483:D2483"/>
    <mergeCell ref="B2487:B2496"/>
    <mergeCell ref="C2487:D2487"/>
    <mergeCell ref="C2488:D2488"/>
    <mergeCell ref="C2489:D2489"/>
    <mergeCell ref="C2494:D2494"/>
    <mergeCell ref="C2498:D2498"/>
    <mergeCell ref="C2499:D2499"/>
    <mergeCell ref="C2500:D2500"/>
    <mergeCell ref="C2505:D2505"/>
    <mergeCell ref="B2509:B2521"/>
    <mergeCell ref="C2509:D2509"/>
    <mergeCell ref="C2510:D2510"/>
    <mergeCell ref="C2511:D2511"/>
    <mergeCell ref="C2517:D2517"/>
    <mergeCell ref="C2522:D2522"/>
    <mergeCell ref="C2523:D2523"/>
    <mergeCell ref="C2525:D2525"/>
    <mergeCell ref="C2526:D2526"/>
    <mergeCell ref="C2527:D2527"/>
    <mergeCell ref="C2532:D2532"/>
    <mergeCell ref="C2533:D2533"/>
    <mergeCell ref="C2534:D2534"/>
    <mergeCell ref="C2537:D2537"/>
    <mergeCell ref="C2541:D2541"/>
    <mergeCell ref="C2545:D2545"/>
    <mergeCell ref="C2546:D2546"/>
    <mergeCell ref="B2550:B2553"/>
    <mergeCell ref="C2550:D2550"/>
    <mergeCell ref="C2551:D2551"/>
    <mergeCell ref="C2554:D2554"/>
    <mergeCell ref="C2555:D2555"/>
    <mergeCell ref="C2556:D2556"/>
    <mergeCell ref="B2559:B2561"/>
    <mergeCell ref="C2559:D2559"/>
    <mergeCell ref="C2560:D2560"/>
    <mergeCell ref="C2563:D2563"/>
    <mergeCell ref="C2564:D2564"/>
    <mergeCell ref="C2565:D2565"/>
    <mergeCell ref="C2568:D2568"/>
    <mergeCell ref="C2569:D2569"/>
    <mergeCell ref="C2574:D2574"/>
    <mergeCell ref="C2575:D2575"/>
    <mergeCell ref="C2583:D2583"/>
    <mergeCell ref="B2587:B2591"/>
    <mergeCell ref="C2587:D2587"/>
    <mergeCell ref="C2588:D2588"/>
    <mergeCell ref="C2592:D2592"/>
    <mergeCell ref="C2593:D2593"/>
    <mergeCell ref="C2594:D2594"/>
    <mergeCell ref="B2597:B2604"/>
    <mergeCell ref="C2597:D2597"/>
    <mergeCell ref="C2598:D2598"/>
    <mergeCell ref="C2602:D2602"/>
    <mergeCell ref="C2603:D2603"/>
    <mergeCell ref="C2606:D2606"/>
    <mergeCell ref="C2607:D2607"/>
    <mergeCell ref="C2611:D2611"/>
    <mergeCell ref="C2616:D2616"/>
    <mergeCell ref="C2617:D2617"/>
    <mergeCell ref="C2618:D2618"/>
    <mergeCell ref="B2622:B2624"/>
    <mergeCell ref="C2622:D2622"/>
    <mergeCell ref="C2623:D2623"/>
    <mergeCell ref="C2628:D2628"/>
    <mergeCell ref="C2629:D2629"/>
    <mergeCell ref="C2634:D2634"/>
    <mergeCell ref="B2637:B2642"/>
    <mergeCell ref="C2637:D2637"/>
    <mergeCell ref="C2638:D2638"/>
    <mergeCell ref="C2639:D2639"/>
    <mergeCell ref="C2642:D2642"/>
    <mergeCell ref="C2647:D2647"/>
    <mergeCell ref="C2649:D2649"/>
    <mergeCell ref="C2650:D2650"/>
    <mergeCell ref="C2651:D2651"/>
    <mergeCell ref="C2654:D2654"/>
    <mergeCell ref="C2655:D2655"/>
    <mergeCell ref="C2656:D2656"/>
    <mergeCell ref="C2661:D2661"/>
    <mergeCell ref="C2665:D2665"/>
    <mergeCell ref="C2670:D2670"/>
    <mergeCell ref="C2692:D2692"/>
    <mergeCell ref="C2693:D2693"/>
    <mergeCell ref="C2700:D2700"/>
    <mergeCell ref="C2701:D2701"/>
    <mergeCell ref="B2708:B2710"/>
    <mergeCell ref="C2708:D2708"/>
    <mergeCell ref="C2709:D2709"/>
    <mergeCell ref="C2712:D2712"/>
    <mergeCell ref="C2713:D2713"/>
    <mergeCell ref="C2714:D2714"/>
    <mergeCell ref="C2722:D2722"/>
    <mergeCell ref="C2741:D2741"/>
    <mergeCell ref="C2744:D2744"/>
    <mergeCell ref="C2745:D2745"/>
    <mergeCell ref="C2750:D2750"/>
    <mergeCell ref="C2751:D2751"/>
    <mergeCell ref="C2752:D2752"/>
    <mergeCell ref="C2755:D2755"/>
    <mergeCell ref="A2809:D2809"/>
    <mergeCell ref="A2810:D2810"/>
    <mergeCell ref="C2794:D2794"/>
    <mergeCell ref="B2798:B2799"/>
    <mergeCell ref="C2798:D2798"/>
    <mergeCell ref="C2799:D2799"/>
    <mergeCell ref="C2802:D2802"/>
    <mergeCell ref="C2803:D2803"/>
    <mergeCell ref="C2759:D2759"/>
    <mergeCell ref="B2763:B2764"/>
    <mergeCell ref="C2763:D2763"/>
    <mergeCell ref="C2764:D2764"/>
    <mergeCell ref="C2766:D2766"/>
    <mergeCell ref="C2767:D2767"/>
    <mergeCell ref="C2770:D2770"/>
    <mergeCell ref="C2771:D2771"/>
    <mergeCell ref="C2774:D2774"/>
    <mergeCell ref="A2826:D2826"/>
    <mergeCell ref="A2811:D2811"/>
    <mergeCell ref="A2812:D2812"/>
    <mergeCell ref="A2813:D2813"/>
    <mergeCell ref="A2814:D2814"/>
    <mergeCell ref="A2815:D2815"/>
    <mergeCell ref="A2816:D2816"/>
    <mergeCell ref="D1:G3"/>
    <mergeCell ref="A2817:D2817"/>
    <mergeCell ref="A2818:D2818"/>
    <mergeCell ref="A2819:D2819"/>
    <mergeCell ref="A2820:D2820"/>
    <mergeCell ref="A2821:D2821"/>
    <mergeCell ref="A2805:D2805"/>
    <mergeCell ref="A2806:D2806"/>
    <mergeCell ref="A2807:D2807"/>
    <mergeCell ref="A2808:D2808"/>
    <mergeCell ref="C2775:D2775"/>
    <mergeCell ref="C2776:D2776"/>
    <mergeCell ref="C2780:D2780"/>
    <mergeCell ref="C2784:D2784"/>
    <mergeCell ref="C2788:D2788"/>
    <mergeCell ref="C2789:D2789"/>
    <mergeCell ref="C2793:D2793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300" verticalDpi="300" r:id="rId1"/>
  <headerFooter>
    <oddFooter>Strona &amp;P z &amp;N</oddFooter>
  </headerFooter>
  <rowBreaks count="17" manualBreakCount="17">
    <brk id="216" max="7" man="1"/>
    <brk id="304" max="7" man="1"/>
    <brk id="385" max="7" man="1"/>
    <brk id="778" max="7" man="1"/>
    <brk id="1093" max="7" man="1"/>
    <brk id="1159" max="7" man="1"/>
    <brk id="1220" max="7" man="1"/>
    <brk id="1704" max="7" man="1"/>
    <brk id="1759" max="7" man="1"/>
    <brk id="1843" max="7" man="1"/>
    <brk id="1951" max="7" man="1"/>
    <brk id="2077" max="7" man="1"/>
    <brk id="2207" max="7" man="1"/>
    <brk id="2329" max="7" man="1"/>
    <brk id="2507" max="7" man="1"/>
    <brk id="2566" max="7" man="1"/>
    <brk id="27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43ED-8C30-46D7-9503-D56F946D8B93}">
  <sheetPr>
    <tabColor rgb="FF92D050"/>
  </sheetPr>
  <dimension ref="A1:S1225"/>
  <sheetViews>
    <sheetView view="pageBreakPreview" zoomScale="120" zoomScaleSheetLayoutView="120" workbookViewId="0">
      <pane ySplit="7" topLeftCell="A1161" activePane="bottomLeft" state="frozen"/>
      <selection activeCell="R6" sqref="R6"/>
      <selection pane="bottomLeft" activeCell="R6" sqref="R6"/>
    </sheetView>
  </sheetViews>
  <sheetFormatPr defaultRowHeight="12.75"/>
  <cols>
    <col min="1" max="1" width="3.5703125" style="1195" customWidth="1"/>
    <col min="2" max="2" width="50.7109375" style="1195" customWidth="1"/>
    <col min="3" max="4" width="7.7109375" style="1198" customWidth="1"/>
    <col min="5" max="5" width="16.85546875" style="1195" bestFit="1" customWidth="1"/>
    <col min="6" max="10" width="12.7109375" style="1195" customWidth="1"/>
    <col min="11" max="11" width="11.42578125" style="1197" bestFit="1" customWidth="1"/>
    <col min="12" max="12" width="11.140625" style="1196" bestFit="1" customWidth="1"/>
    <col min="13" max="13" width="10.85546875" style="1195" bestFit="1" customWidth="1"/>
    <col min="14" max="14" width="9.85546875" style="1195" bestFit="1" customWidth="1"/>
    <col min="15" max="15" width="9.140625" style="1195"/>
    <col min="16" max="16" width="9.85546875" style="1195" bestFit="1" customWidth="1"/>
    <col min="17" max="17" width="9.140625" style="1195"/>
    <col min="18" max="242" width="9.140625" style="1194"/>
    <col min="243" max="243" width="4.28515625" style="1194" bestFit="1" customWidth="1"/>
    <col min="244" max="244" width="6.85546875" style="1194" bestFit="1" customWidth="1"/>
    <col min="245" max="245" width="11" style="1194" customWidth="1"/>
    <col min="246" max="246" width="11.140625" style="1194" bestFit="1" customWidth="1"/>
    <col min="247" max="247" width="10.85546875" style="1194" customWidth="1"/>
    <col min="248" max="248" width="11.5703125" style="1194" customWidth="1"/>
    <col min="249" max="249" width="11.140625" style="1194" bestFit="1" customWidth="1"/>
    <col min="250" max="250" width="11" style="1194" customWidth="1"/>
    <col min="251" max="251" width="10.42578125" style="1194" customWidth="1"/>
    <col min="252" max="252" width="11.28515625" style="1194" customWidth="1"/>
    <col min="253" max="254" width="9.140625" style="1194" bestFit="1" customWidth="1"/>
    <col min="255" max="256" width="11.140625" style="1194" bestFit="1" customWidth="1"/>
    <col min="257" max="257" width="11.5703125" style="1194" bestFit="1" customWidth="1"/>
    <col min="258" max="258" width="9.140625" style="1194" bestFit="1" customWidth="1"/>
    <col min="259" max="259" width="10.28515625" style="1194" customWidth="1"/>
    <col min="260" max="498" width="9.140625" style="1194"/>
    <col min="499" max="499" width="4.28515625" style="1194" bestFit="1" customWidth="1"/>
    <col min="500" max="500" width="6.85546875" style="1194" bestFit="1" customWidth="1"/>
    <col min="501" max="501" width="11" style="1194" customWidth="1"/>
    <col min="502" max="502" width="11.140625" style="1194" bestFit="1" customWidth="1"/>
    <col min="503" max="503" width="10.85546875" style="1194" customWidth="1"/>
    <col min="504" max="504" width="11.5703125" style="1194" customWidth="1"/>
    <col min="505" max="505" width="11.140625" style="1194" bestFit="1" customWidth="1"/>
    <col min="506" max="506" width="11" style="1194" customWidth="1"/>
    <col min="507" max="507" width="10.42578125" style="1194" customWidth="1"/>
    <col min="508" max="508" width="11.28515625" style="1194" customWidth="1"/>
    <col min="509" max="510" width="9.140625" style="1194" bestFit="1" customWidth="1"/>
    <col min="511" max="512" width="11.140625" style="1194" bestFit="1" customWidth="1"/>
    <col min="513" max="513" width="11.5703125" style="1194" bestFit="1" customWidth="1"/>
    <col min="514" max="514" width="9.140625" style="1194" bestFit="1" customWidth="1"/>
    <col min="515" max="515" width="10.28515625" style="1194" customWidth="1"/>
    <col min="516" max="754" width="9.140625" style="1194"/>
    <col min="755" max="755" width="4.28515625" style="1194" bestFit="1" customWidth="1"/>
    <col min="756" max="756" width="6.85546875" style="1194" bestFit="1" customWidth="1"/>
    <col min="757" max="757" width="11" style="1194" customWidth="1"/>
    <col min="758" max="758" width="11.140625" style="1194" bestFit="1" customWidth="1"/>
    <col min="759" max="759" width="10.85546875" style="1194" customWidth="1"/>
    <col min="760" max="760" width="11.5703125" style="1194" customWidth="1"/>
    <col min="761" max="761" width="11.140625" style="1194" bestFit="1" customWidth="1"/>
    <col min="762" max="762" width="11" style="1194" customWidth="1"/>
    <col min="763" max="763" width="10.42578125" style="1194" customWidth="1"/>
    <col min="764" max="764" width="11.28515625" style="1194" customWidth="1"/>
    <col min="765" max="766" width="9.140625" style="1194" bestFit="1" customWidth="1"/>
    <col min="767" max="768" width="11.140625" style="1194" bestFit="1" customWidth="1"/>
    <col min="769" max="769" width="11.5703125" style="1194" bestFit="1" customWidth="1"/>
    <col min="770" max="770" width="9.140625" style="1194" bestFit="1" customWidth="1"/>
    <col min="771" max="771" width="10.28515625" style="1194" customWidth="1"/>
    <col min="772" max="1010" width="9.140625" style="1194"/>
    <col min="1011" max="1011" width="4.28515625" style="1194" bestFit="1" customWidth="1"/>
    <col min="1012" max="1012" width="6.85546875" style="1194" bestFit="1" customWidth="1"/>
    <col min="1013" max="1013" width="11" style="1194" customWidth="1"/>
    <col min="1014" max="1014" width="11.140625" style="1194" bestFit="1" customWidth="1"/>
    <col min="1015" max="1015" width="10.85546875" style="1194" customWidth="1"/>
    <col min="1016" max="1016" width="11.5703125" style="1194" customWidth="1"/>
    <col min="1017" max="1017" width="11.140625" style="1194" bestFit="1" customWidth="1"/>
    <col min="1018" max="1018" width="11" style="1194" customWidth="1"/>
    <col min="1019" max="1019" width="10.42578125" style="1194" customWidth="1"/>
    <col min="1020" max="1020" width="11.28515625" style="1194" customWidth="1"/>
    <col min="1021" max="1022" width="9.140625" style="1194" bestFit="1" customWidth="1"/>
    <col min="1023" max="1024" width="11.140625" style="1194" bestFit="1" customWidth="1"/>
    <col min="1025" max="1025" width="11.5703125" style="1194" bestFit="1" customWidth="1"/>
    <col min="1026" max="1026" width="9.140625" style="1194" bestFit="1" customWidth="1"/>
    <col min="1027" max="1027" width="10.28515625" style="1194" customWidth="1"/>
    <col min="1028" max="1266" width="9.140625" style="1194"/>
    <col min="1267" max="1267" width="4.28515625" style="1194" bestFit="1" customWidth="1"/>
    <col min="1268" max="1268" width="6.85546875" style="1194" bestFit="1" customWidth="1"/>
    <col min="1269" max="1269" width="11" style="1194" customWidth="1"/>
    <col min="1270" max="1270" width="11.140625" style="1194" bestFit="1" customWidth="1"/>
    <col min="1271" max="1271" width="10.85546875" style="1194" customWidth="1"/>
    <col min="1272" max="1272" width="11.5703125" style="1194" customWidth="1"/>
    <col min="1273" max="1273" width="11.140625" style="1194" bestFit="1" customWidth="1"/>
    <col min="1274" max="1274" width="11" style="1194" customWidth="1"/>
    <col min="1275" max="1275" width="10.42578125" style="1194" customWidth="1"/>
    <col min="1276" max="1276" width="11.28515625" style="1194" customWidth="1"/>
    <col min="1277" max="1278" width="9.140625" style="1194" bestFit="1" customWidth="1"/>
    <col min="1279" max="1280" width="11.140625" style="1194" bestFit="1" customWidth="1"/>
    <col min="1281" max="1281" width="11.5703125" style="1194" bestFit="1" customWidth="1"/>
    <col min="1282" max="1282" width="9.140625" style="1194" bestFit="1" customWidth="1"/>
    <col min="1283" max="1283" width="10.28515625" style="1194" customWidth="1"/>
    <col min="1284" max="1522" width="9.140625" style="1194"/>
    <col min="1523" max="1523" width="4.28515625" style="1194" bestFit="1" customWidth="1"/>
    <col min="1524" max="1524" width="6.85546875" style="1194" bestFit="1" customWidth="1"/>
    <col min="1525" max="1525" width="11" style="1194" customWidth="1"/>
    <col min="1526" max="1526" width="11.140625" style="1194" bestFit="1" customWidth="1"/>
    <col min="1527" max="1527" width="10.85546875" style="1194" customWidth="1"/>
    <col min="1528" max="1528" width="11.5703125" style="1194" customWidth="1"/>
    <col min="1529" max="1529" width="11.140625" style="1194" bestFit="1" customWidth="1"/>
    <col min="1530" max="1530" width="11" style="1194" customWidth="1"/>
    <col min="1531" max="1531" width="10.42578125" style="1194" customWidth="1"/>
    <col min="1532" max="1532" width="11.28515625" style="1194" customWidth="1"/>
    <col min="1533" max="1534" width="9.140625" style="1194" bestFit="1" customWidth="1"/>
    <col min="1535" max="1536" width="11.140625" style="1194" bestFit="1" customWidth="1"/>
    <col min="1537" max="1537" width="11.5703125" style="1194" bestFit="1" customWidth="1"/>
    <col min="1538" max="1538" width="9.140625" style="1194" bestFit="1" customWidth="1"/>
    <col min="1539" max="1539" width="10.28515625" style="1194" customWidth="1"/>
    <col min="1540" max="1778" width="9.140625" style="1194"/>
    <col min="1779" max="1779" width="4.28515625" style="1194" bestFit="1" customWidth="1"/>
    <col min="1780" max="1780" width="6.85546875" style="1194" bestFit="1" customWidth="1"/>
    <col min="1781" max="1781" width="11" style="1194" customWidth="1"/>
    <col min="1782" max="1782" width="11.140625" style="1194" bestFit="1" customWidth="1"/>
    <col min="1783" max="1783" width="10.85546875" style="1194" customWidth="1"/>
    <col min="1784" max="1784" width="11.5703125" style="1194" customWidth="1"/>
    <col min="1785" max="1785" width="11.140625" style="1194" bestFit="1" customWidth="1"/>
    <col min="1786" max="1786" width="11" style="1194" customWidth="1"/>
    <col min="1787" max="1787" width="10.42578125" style="1194" customWidth="1"/>
    <col min="1788" max="1788" width="11.28515625" style="1194" customWidth="1"/>
    <col min="1789" max="1790" width="9.140625" style="1194" bestFit="1" customWidth="1"/>
    <col min="1791" max="1792" width="11.140625" style="1194" bestFit="1" customWidth="1"/>
    <col min="1793" max="1793" width="11.5703125" style="1194" bestFit="1" customWidth="1"/>
    <col min="1794" max="1794" width="9.140625" style="1194" bestFit="1" customWidth="1"/>
    <col min="1795" max="1795" width="10.28515625" style="1194" customWidth="1"/>
    <col min="1796" max="2034" width="9.140625" style="1194"/>
    <col min="2035" max="2035" width="4.28515625" style="1194" bestFit="1" customWidth="1"/>
    <col min="2036" max="2036" width="6.85546875" style="1194" bestFit="1" customWidth="1"/>
    <col min="2037" max="2037" width="11" style="1194" customWidth="1"/>
    <col min="2038" max="2038" width="11.140625" style="1194" bestFit="1" customWidth="1"/>
    <col min="2039" max="2039" width="10.85546875" style="1194" customWidth="1"/>
    <col min="2040" max="2040" width="11.5703125" style="1194" customWidth="1"/>
    <col min="2041" max="2041" width="11.140625" style="1194" bestFit="1" customWidth="1"/>
    <col min="2042" max="2042" width="11" style="1194" customWidth="1"/>
    <col min="2043" max="2043" width="10.42578125" style="1194" customWidth="1"/>
    <col min="2044" max="2044" width="11.28515625" style="1194" customWidth="1"/>
    <col min="2045" max="2046" width="9.140625" style="1194" bestFit="1" customWidth="1"/>
    <col min="2047" max="2048" width="11.140625" style="1194" bestFit="1" customWidth="1"/>
    <col min="2049" max="2049" width="11.5703125" style="1194" bestFit="1" customWidth="1"/>
    <col min="2050" max="2050" width="9.140625" style="1194" bestFit="1" customWidth="1"/>
    <col min="2051" max="2051" width="10.28515625" style="1194" customWidth="1"/>
    <col min="2052" max="2290" width="9.140625" style="1194"/>
    <col min="2291" max="2291" width="4.28515625" style="1194" bestFit="1" customWidth="1"/>
    <col min="2292" max="2292" width="6.85546875" style="1194" bestFit="1" customWidth="1"/>
    <col min="2293" max="2293" width="11" style="1194" customWidth="1"/>
    <col min="2294" max="2294" width="11.140625" style="1194" bestFit="1" customWidth="1"/>
    <col min="2295" max="2295" width="10.85546875" style="1194" customWidth="1"/>
    <col min="2296" max="2296" width="11.5703125" style="1194" customWidth="1"/>
    <col min="2297" max="2297" width="11.140625" style="1194" bestFit="1" customWidth="1"/>
    <col min="2298" max="2298" width="11" style="1194" customWidth="1"/>
    <col min="2299" max="2299" width="10.42578125" style="1194" customWidth="1"/>
    <col min="2300" max="2300" width="11.28515625" style="1194" customWidth="1"/>
    <col min="2301" max="2302" width="9.140625" style="1194" bestFit="1" customWidth="1"/>
    <col min="2303" max="2304" width="11.140625" style="1194" bestFit="1" customWidth="1"/>
    <col min="2305" max="2305" width="11.5703125" style="1194" bestFit="1" customWidth="1"/>
    <col min="2306" max="2306" width="9.140625" style="1194" bestFit="1" customWidth="1"/>
    <col min="2307" max="2307" width="10.28515625" style="1194" customWidth="1"/>
    <col min="2308" max="2546" width="9.140625" style="1194"/>
    <col min="2547" max="2547" width="4.28515625" style="1194" bestFit="1" customWidth="1"/>
    <col min="2548" max="2548" width="6.85546875" style="1194" bestFit="1" customWidth="1"/>
    <col min="2549" max="2549" width="11" style="1194" customWidth="1"/>
    <col min="2550" max="2550" width="11.140625" style="1194" bestFit="1" customWidth="1"/>
    <col min="2551" max="2551" width="10.85546875" style="1194" customWidth="1"/>
    <col min="2552" max="2552" width="11.5703125" style="1194" customWidth="1"/>
    <col min="2553" max="2553" width="11.140625" style="1194" bestFit="1" customWidth="1"/>
    <col min="2554" max="2554" width="11" style="1194" customWidth="1"/>
    <col min="2555" max="2555" width="10.42578125" style="1194" customWidth="1"/>
    <col min="2556" max="2556" width="11.28515625" style="1194" customWidth="1"/>
    <col min="2557" max="2558" width="9.140625" style="1194" bestFit="1" customWidth="1"/>
    <col min="2559" max="2560" width="11.140625" style="1194" bestFit="1" customWidth="1"/>
    <col min="2561" max="2561" width="11.5703125" style="1194" bestFit="1" customWidth="1"/>
    <col min="2562" max="2562" width="9.140625" style="1194" bestFit="1" customWidth="1"/>
    <col min="2563" max="2563" width="10.28515625" style="1194" customWidth="1"/>
    <col min="2564" max="2802" width="9.140625" style="1194"/>
    <col min="2803" max="2803" width="4.28515625" style="1194" bestFit="1" customWidth="1"/>
    <col min="2804" max="2804" width="6.85546875" style="1194" bestFit="1" customWidth="1"/>
    <col min="2805" max="2805" width="11" style="1194" customWidth="1"/>
    <col min="2806" max="2806" width="11.140625" style="1194" bestFit="1" customWidth="1"/>
    <col min="2807" max="2807" width="10.85546875" style="1194" customWidth="1"/>
    <col min="2808" max="2808" width="11.5703125" style="1194" customWidth="1"/>
    <col min="2809" max="2809" width="11.140625" style="1194" bestFit="1" customWidth="1"/>
    <col min="2810" max="2810" width="11" style="1194" customWidth="1"/>
    <col min="2811" max="2811" width="10.42578125" style="1194" customWidth="1"/>
    <col min="2812" max="2812" width="11.28515625" style="1194" customWidth="1"/>
    <col min="2813" max="2814" width="9.140625" style="1194" bestFit="1" customWidth="1"/>
    <col min="2815" max="2816" width="11.140625" style="1194" bestFit="1" customWidth="1"/>
    <col min="2817" max="2817" width="11.5703125" style="1194" bestFit="1" customWidth="1"/>
    <col min="2818" max="2818" width="9.140625" style="1194" bestFit="1" customWidth="1"/>
    <col min="2819" max="2819" width="10.28515625" style="1194" customWidth="1"/>
    <col min="2820" max="3058" width="9.140625" style="1194"/>
    <col min="3059" max="3059" width="4.28515625" style="1194" bestFit="1" customWidth="1"/>
    <col min="3060" max="3060" width="6.85546875" style="1194" bestFit="1" customWidth="1"/>
    <col min="3061" max="3061" width="11" style="1194" customWidth="1"/>
    <col min="3062" max="3062" width="11.140625" style="1194" bestFit="1" customWidth="1"/>
    <col min="3063" max="3063" width="10.85546875" style="1194" customWidth="1"/>
    <col min="3064" max="3064" width="11.5703125" style="1194" customWidth="1"/>
    <col min="3065" max="3065" width="11.140625" style="1194" bestFit="1" customWidth="1"/>
    <col min="3066" max="3066" width="11" style="1194" customWidth="1"/>
    <col min="3067" max="3067" width="10.42578125" style="1194" customWidth="1"/>
    <col min="3068" max="3068" width="11.28515625" style="1194" customWidth="1"/>
    <col min="3069" max="3070" width="9.140625" style="1194" bestFit="1" customWidth="1"/>
    <col min="3071" max="3072" width="11.140625" style="1194" bestFit="1" customWidth="1"/>
    <col min="3073" max="3073" width="11.5703125" style="1194" bestFit="1" customWidth="1"/>
    <col min="3074" max="3074" width="9.140625" style="1194" bestFit="1" customWidth="1"/>
    <col min="3075" max="3075" width="10.28515625" style="1194" customWidth="1"/>
    <col min="3076" max="3314" width="9.140625" style="1194"/>
    <col min="3315" max="3315" width="4.28515625" style="1194" bestFit="1" customWidth="1"/>
    <col min="3316" max="3316" width="6.85546875" style="1194" bestFit="1" customWidth="1"/>
    <col min="3317" max="3317" width="11" style="1194" customWidth="1"/>
    <col min="3318" max="3318" width="11.140625" style="1194" bestFit="1" customWidth="1"/>
    <col min="3319" max="3319" width="10.85546875" style="1194" customWidth="1"/>
    <col min="3320" max="3320" width="11.5703125" style="1194" customWidth="1"/>
    <col min="3321" max="3321" width="11.140625" style="1194" bestFit="1" customWidth="1"/>
    <col min="3322" max="3322" width="11" style="1194" customWidth="1"/>
    <col min="3323" max="3323" width="10.42578125" style="1194" customWidth="1"/>
    <col min="3324" max="3324" width="11.28515625" style="1194" customWidth="1"/>
    <col min="3325" max="3326" width="9.140625" style="1194" bestFit="1" customWidth="1"/>
    <col min="3327" max="3328" width="11.140625" style="1194" bestFit="1" customWidth="1"/>
    <col min="3329" max="3329" width="11.5703125" style="1194" bestFit="1" customWidth="1"/>
    <col min="3330" max="3330" width="9.140625" style="1194" bestFit="1" customWidth="1"/>
    <col min="3331" max="3331" width="10.28515625" style="1194" customWidth="1"/>
    <col min="3332" max="3570" width="9.140625" style="1194"/>
    <col min="3571" max="3571" width="4.28515625" style="1194" bestFit="1" customWidth="1"/>
    <col min="3572" max="3572" width="6.85546875" style="1194" bestFit="1" customWidth="1"/>
    <col min="3573" max="3573" width="11" style="1194" customWidth="1"/>
    <col min="3574" max="3574" width="11.140625" style="1194" bestFit="1" customWidth="1"/>
    <col min="3575" max="3575" width="10.85546875" style="1194" customWidth="1"/>
    <col min="3576" max="3576" width="11.5703125" style="1194" customWidth="1"/>
    <col min="3577" max="3577" width="11.140625" style="1194" bestFit="1" customWidth="1"/>
    <col min="3578" max="3578" width="11" style="1194" customWidth="1"/>
    <col min="3579" max="3579" width="10.42578125" style="1194" customWidth="1"/>
    <col min="3580" max="3580" width="11.28515625" style="1194" customWidth="1"/>
    <col min="3581" max="3582" width="9.140625" style="1194" bestFit="1" customWidth="1"/>
    <col min="3583" max="3584" width="11.140625" style="1194" bestFit="1" customWidth="1"/>
    <col min="3585" max="3585" width="11.5703125" style="1194" bestFit="1" customWidth="1"/>
    <col min="3586" max="3586" width="9.140625" style="1194" bestFit="1" customWidth="1"/>
    <col min="3587" max="3587" width="10.28515625" style="1194" customWidth="1"/>
    <col min="3588" max="3826" width="9.140625" style="1194"/>
    <col min="3827" max="3827" width="4.28515625" style="1194" bestFit="1" customWidth="1"/>
    <col min="3828" max="3828" width="6.85546875" style="1194" bestFit="1" customWidth="1"/>
    <col min="3829" max="3829" width="11" style="1194" customWidth="1"/>
    <col min="3830" max="3830" width="11.140625" style="1194" bestFit="1" customWidth="1"/>
    <col min="3831" max="3831" width="10.85546875" style="1194" customWidth="1"/>
    <col min="3832" max="3832" width="11.5703125" style="1194" customWidth="1"/>
    <col min="3833" max="3833" width="11.140625" style="1194" bestFit="1" customWidth="1"/>
    <col min="3834" max="3834" width="11" style="1194" customWidth="1"/>
    <col min="3835" max="3835" width="10.42578125" style="1194" customWidth="1"/>
    <col min="3836" max="3836" width="11.28515625" style="1194" customWidth="1"/>
    <col min="3837" max="3838" width="9.140625" style="1194" bestFit="1" customWidth="1"/>
    <col min="3839" max="3840" width="11.140625" style="1194" bestFit="1" customWidth="1"/>
    <col min="3841" max="3841" width="11.5703125" style="1194" bestFit="1" customWidth="1"/>
    <col min="3842" max="3842" width="9.140625" style="1194" bestFit="1" customWidth="1"/>
    <col min="3843" max="3843" width="10.28515625" style="1194" customWidth="1"/>
    <col min="3844" max="4082" width="9.140625" style="1194"/>
    <col min="4083" max="4083" width="4.28515625" style="1194" bestFit="1" customWidth="1"/>
    <col min="4084" max="4084" width="6.85546875" style="1194" bestFit="1" customWidth="1"/>
    <col min="4085" max="4085" width="11" style="1194" customWidth="1"/>
    <col min="4086" max="4086" width="11.140625" style="1194" bestFit="1" customWidth="1"/>
    <col min="4087" max="4087" width="10.85546875" style="1194" customWidth="1"/>
    <col min="4088" max="4088" width="11.5703125" style="1194" customWidth="1"/>
    <col min="4089" max="4089" width="11.140625" style="1194" bestFit="1" customWidth="1"/>
    <col min="4090" max="4090" width="11" style="1194" customWidth="1"/>
    <col min="4091" max="4091" width="10.42578125" style="1194" customWidth="1"/>
    <col min="4092" max="4092" width="11.28515625" style="1194" customWidth="1"/>
    <col min="4093" max="4094" width="9.140625" style="1194" bestFit="1" customWidth="1"/>
    <col min="4095" max="4096" width="11.140625" style="1194" bestFit="1" customWidth="1"/>
    <col min="4097" max="4097" width="11.5703125" style="1194" bestFit="1" customWidth="1"/>
    <col min="4098" max="4098" width="9.140625" style="1194" bestFit="1" customWidth="1"/>
    <col min="4099" max="4099" width="10.28515625" style="1194" customWidth="1"/>
    <col min="4100" max="4338" width="9.140625" style="1194"/>
    <col min="4339" max="4339" width="4.28515625" style="1194" bestFit="1" customWidth="1"/>
    <col min="4340" max="4340" width="6.85546875" style="1194" bestFit="1" customWidth="1"/>
    <col min="4341" max="4341" width="11" style="1194" customWidth="1"/>
    <col min="4342" max="4342" width="11.140625" style="1194" bestFit="1" customWidth="1"/>
    <col min="4343" max="4343" width="10.85546875" style="1194" customWidth="1"/>
    <col min="4344" max="4344" width="11.5703125" style="1194" customWidth="1"/>
    <col min="4345" max="4345" width="11.140625" style="1194" bestFit="1" customWidth="1"/>
    <col min="4346" max="4346" width="11" style="1194" customWidth="1"/>
    <col min="4347" max="4347" width="10.42578125" style="1194" customWidth="1"/>
    <col min="4348" max="4348" width="11.28515625" style="1194" customWidth="1"/>
    <col min="4349" max="4350" width="9.140625" style="1194" bestFit="1" customWidth="1"/>
    <col min="4351" max="4352" width="11.140625" style="1194" bestFit="1" customWidth="1"/>
    <col min="4353" max="4353" width="11.5703125" style="1194" bestFit="1" customWidth="1"/>
    <col min="4354" max="4354" width="9.140625" style="1194" bestFit="1" customWidth="1"/>
    <col min="4355" max="4355" width="10.28515625" style="1194" customWidth="1"/>
    <col min="4356" max="4594" width="9.140625" style="1194"/>
    <col min="4595" max="4595" width="4.28515625" style="1194" bestFit="1" customWidth="1"/>
    <col min="4596" max="4596" width="6.85546875" style="1194" bestFit="1" customWidth="1"/>
    <col min="4597" max="4597" width="11" style="1194" customWidth="1"/>
    <col min="4598" max="4598" width="11.140625" style="1194" bestFit="1" customWidth="1"/>
    <col min="4599" max="4599" width="10.85546875" style="1194" customWidth="1"/>
    <col min="4600" max="4600" width="11.5703125" style="1194" customWidth="1"/>
    <col min="4601" max="4601" width="11.140625" style="1194" bestFit="1" customWidth="1"/>
    <col min="4602" max="4602" width="11" style="1194" customWidth="1"/>
    <col min="4603" max="4603" width="10.42578125" style="1194" customWidth="1"/>
    <col min="4604" max="4604" width="11.28515625" style="1194" customWidth="1"/>
    <col min="4605" max="4606" width="9.140625" style="1194" bestFit="1" customWidth="1"/>
    <col min="4607" max="4608" width="11.140625" style="1194" bestFit="1" customWidth="1"/>
    <col min="4609" max="4609" width="11.5703125" style="1194" bestFit="1" customWidth="1"/>
    <col min="4610" max="4610" width="9.140625" style="1194" bestFit="1" customWidth="1"/>
    <col min="4611" max="4611" width="10.28515625" style="1194" customWidth="1"/>
    <col min="4612" max="4850" width="9.140625" style="1194"/>
    <col min="4851" max="4851" width="4.28515625" style="1194" bestFit="1" customWidth="1"/>
    <col min="4852" max="4852" width="6.85546875" style="1194" bestFit="1" customWidth="1"/>
    <col min="4853" max="4853" width="11" style="1194" customWidth="1"/>
    <col min="4854" max="4854" width="11.140625" style="1194" bestFit="1" customWidth="1"/>
    <col min="4855" max="4855" width="10.85546875" style="1194" customWidth="1"/>
    <col min="4856" max="4856" width="11.5703125" style="1194" customWidth="1"/>
    <col min="4857" max="4857" width="11.140625" style="1194" bestFit="1" customWidth="1"/>
    <col min="4858" max="4858" width="11" style="1194" customWidth="1"/>
    <col min="4859" max="4859" width="10.42578125" style="1194" customWidth="1"/>
    <col min="4860" max="4860" width="11.28515625" style="1194" customWidth="1"/>
    <col min="4861" max="4862" width="9.140625" style="1194" bestFit="1" customWidth="1"/>
    <col min="4863" max="4864" width="11.140625" style="1194" bestFit="1" customWidth="1"/>
    <col min="4865" max="4865" width="11.5703125" style="1194" bestFit="1" customWidth="1"/>
    <col min="4866" max="4866" width="9.140625" style="1194" bestFit="1" customWidth="1"/>
    <col min="4867" max="4867" width="10.28515625" style="1194" customWidth="1"/>
    <col min="4868" max="5106" width="9.140625" style="1194"/>
    <col min="5107" max="5107" width="4.28515625" style="1194" bestFit="1" customWidth="1"/>
    <col min="5108" max="5108" width="6.85546875" style="1194" bestFit="1" customWidth="1"/>
    <col min="5109" max="5109" width="11" style="1194" customWidth="1"/>
    <col min="5110" max="5110" width="11.140625" style="1194" bestFit="1" customWidth="1"/>
    <col min="5111" max="5111" width="10.85546875" style="1194" customWidth="1"/>
    <col min="5112" max="5112" width="11.5703125" style="1194" customWidth="1"/>
    <col min="5113" max="5113" width="11.140625" style="1194" bestFit="1" customWidth="1"/>
    <col min="5114" max="5114" width="11" style="1194" customWidth="1"/>
    <col min="5115" max="5115" width="10.42578125" style="1194" customWidth="1"/>
    <col min="5116" max="5116" width="11.28515625" style="1194" customWidth="1"/>
    <col min="5117" max="5118" width="9.140625" style="1194" bestFit="1" customWidth="1"/>
    <col min="5119" max="5120" width="11.140625" style="1194" bestFit="1" customWidth="1"/>
    <col min="5121" max="5121" width="11.5703125" style="1194" bestFit="1" customWidth="1"/>
    <col min="5122" max="5122" width="9.140625" style="1194" bestFit="1" customWidth="1"/>
    <col min="5123" max="5123" width="10.28515625" style="1194" customWidth="1"/>
    <col min="5124" max="5362" width="9.140625" style="1194"/>
    <col min="5363" max="5363" width="4.28515625" style="1194" bestFit="1" customWidth="1"/>
    <col min="5364" max="5364" width="6.85546875" style="1194" bestFit="1" customWidth="1"/>
    <col min="5365" max="5365" width="11" style="1194" customWidth="1"/>
    <col min="5366" max="5366" width="11.140625" style="1194" bestFit="1" customWidth="1"/>
    <col min="5367" max="5367" width="10.85546875" style="1194" customWidth="1"/>
    <col min="5368" max="5368" width="11.5703125" style="1194" customWidth="1"/>
    <col min="5369" max="5369" width="11.140625" style="1194" bestFit="1" customWidth="1"/>
    <col min="5370" max="5370" width="11" style="1194" customWidth="1"/>
    <col min="5371" max="5371" width="10.42578125" style="1194" customWidth="1"/>
    <col min="5372" max="5372" width="11.28515625" style="1194" customWidth="1"/>
    <col min="5373" max="5374" width="9.140625" style="1194" bestFit="1" customWidth="1"/>
    <col min="5375" max="5376" width="11.140625" style="1194" bestFit="1" customWidth="1"/>
    <col min="5377" max="5377" width="11.5703125" style="1194" bestFit="1" customWidth="1"/>
    <col min="5378" max="5378" width="9.140625" style="1194" bestFit="1" customWidth="1"/>
    <col min="5379" max="5379" width="10.28515625" style="1194" customWidth="1"/>
    <col min="5380" max="5618" width="9.140625" style="1194"/>
    <col min="5619" max="5619" width="4.28515625" style="1194" bestFit="1" customWidth="1"/>
    <col min="5620" max="5620" width="6.85546875" style="1194" bestFit="1" customWidth="1"/>
    <col min="5621" max="5621" width="11" style="1194" customWidth="1"/>
    <col min="5622" max="5622" width="11.140625" style="1194" bestFit="1" customWidth="1"/>
    <col min="5623" max="5623" width="10.85546875" style="1194" customWidth="1"/>
    <col min="5624" max="5624" width="11.5703125" style="1194" customWidth="1"/>
    <col min="5625" max="5625" width="11.140625" style="1194" bestFit="1" customWidth="1"/>
    <col min="5626" max="5626" width="11" style="1194" customWidth="1"/>
    <col min="5627" max="5627" width="10.42578125" style="1194" customWidth="1"/>
    <col min="5628" max="5628" width="11.28515625" style="1194" customWidth="1"/>
    <col min="5629" max="5630" width="9.140625" style="1194" bestFit="1" customWidth="1"/>
    <col min="5631" max="5632" width="11.140625" style="1194" bestFit="1" customWidth="1"/>
    <col min="5633" max="5633" width="11.5703125" style="1194" bestFit="1" customWidth="1"/>
    <col min="5634" max="5634" width="9.140625" style="1194" bestFit="1" customWidth="1"/>
    <col min="5635" max="5635" width="10.28515625" style="1194" customWidth="1"/>
    <col min="5636" max="5874" width="9.140625" style="1194"/>
    <col min="5875" max="5875" width="4.28515625" style="1194" bestFit="1" customWidth="1"/>
    <col min="5876" max="5876" width="6.85546875" style="1194" bestFit="1" customWidth="1"/>
    <col min="5877" max="5877" width="11" style="1194" customWidth="1"/>
    <col min="5878" max="5878" width="11.140625" style="1194" bestFit="1" customWidth="1"/>
    <col min="5879" max="5879" width="10.85546875" style="1194" customWidth="1"/>
    <col min="5880" max="5880" width="11.5703125" style="1194" customWidth="1"/>
    <col min="5881" max="5881" width="11.140625" style="1194" bestFit="1" customWidth="1"/>
    <col min="5882" max="5882" width="11" style="1194" customWidth="1"/>
    <col min="5883" max="5883" width="10.42578125" style="1194" customWidth="1"/>
    <col min="5884" max="5884" width="11.28515625" style="1194" customWidth="1"/>
    <col min="5885" max="5886" width="9.140625" style="1194" bestFit="1" customWidth="1"/>
    <col min="5887" max="5888" width="11.140625" style="1194" bestFit="1" customWidth="1"/>
    <col min="5889" max="5889" width="11.5703125" style="1194" bestFit="1" customWidth="1"/>
    <col min="5890" max="5890" width="9.140625" style="1194" bestFit="1" customWidth="1"/>
    <col min="5891" max="5891" width="10.28515625" style="1194" customWidth="1"/>
    <col min="5892" max="6130" width="9.140625" style="1194"/>
    <col min="6131" max="6131" width="4.28515625" style="1194" bestFit="1" customWidth="1"/>
    <col min="6132" max="6132" width="6.85546875" style="1194" bestFit="1" customWidth="1"/>
    <col min="6133" max="6133" width="11" style="1194" customWidth="1"/>
    <col min="6134" max="6134" width="11.140625" style="1194" bestFit="1" customWidth="1"/>
    <col min="6135" max="6135" width="10.85546875" style="1194" customWidth="1"/>
    <col min="6136" max="6136" width="11.5703125" style="1194" customWidth="1"/>
    <col min="6137" max="6137" width="11.140625" style="1194" bestFit="1" customWidth="1"/>
    <col min="6138" max="6138" width="11" style="1194" customWidth="1"/>
    <col min="6139" max="6139" width="10.42578125" style="1194" customWidth="1"/>
    <col min="6140" max="6140" width="11.28515625" style="1194" customWidth="1"/>
    <col min="6141" max="6142" width="9.140625" style="1194" bestFit="1" customWidth="1"/>
    <col min="6143" max="6144" width="11.140625" style="1194" bestFit="1" customWidth="1"/>
    <col min="6145" max="6145" width="11.5703125" style="1194" bestFit="1" customWidth="1"/>
    <col min="6146" max="6146" width="9.140625" style="1194" bestFit="1" customWidth="1"/>
    <col min="6147" max="6147" width="10.28515625" style="1194" customWidth="1"/>
    <col min="6148" max="6386" width="9.140625" style="1194"/>
    <col min="6387" max="6387" width="4.28515625" style="1194" bestFit="1" customWidth="1"/>
    <col min="6388" max="6388" width="6.85546875" style="1194" bestFit="1" customWidth="1"/>
    <col min="6389" max="6389" width="11" style="1194" customWidth="1"/>
    <col min="6390" max="6390" width="11.140625" style="1194" bestFit="1" customWidth="1"/>
    <col min="6391" max="6391" width="10.85546875" style="1194" customWidth="1"/>
    <col min="6392" max="6392" width="11.5703125" style="1194" customWidth="1"/>
    <col min="6393" max="6393" width="11.140625" style="1194" bestFit="1" customWidth="1"/>
    <col min="6394" max="6394" width="11" style="1194" customWidth="1"/>
    <col min="6395" max="6395" width="10.42578125" style="1194" customWidth="1"/>
    <col min="6396" max="6396" width="11.28515625" style="1194" customWidth="1"/>
    <col min="6397" max="6398" width="9.140625" style="1194" bestFit="1" customWidth="1"/>
    <col min="6399" max="6400" width="11.140625" style="1194" bestFit="1" customWidth="1"/>
    <col min="6401" max="6401" width="11.5703125" style="1194" bestFit="1" customWidth="1"/>
    <col min="6402" max="6402" width="9.140625" style="1194" bestFit="1" customWidth="1"/>
    <col min="6403" max="6403" width="10.28515625" style="1194" customWidth="1"/>
    <col min="6404" max="6642" width="9.140625" style="1194"/>
    <col min="6643" max="6643" width="4.28515625" style="1194" bestFit="1" customWidth="1"/>
    <col min="6644" max="6644" width="6.85546875" style="1194" bestFit="1" customWidth="1"/>
    <col min="6645" max="6645" width="11" style="1194" customWidth="1"/>
    <col min="6646" max="6646" width="11.140625" style="1194" bestFit="1" customWidth="1"/>
    <col min="6647" max="6647" width="10.85546875" style="1194" customWidth="1"/>
    <col min="6648" max="6648" width="11.5703125" style="1194" customWidth="1"/>
    <col min="6649" max="6649" width="11.140625" style="1194" bestFit="1" customWidth="1"/>
    <col min="6650" max="6650" width="11" style="1194" customWidth="1"/>
    <col min="6651" max="6651" width="10.42578125" style="1194" customWidth="1"/>
    <col min="6652" max="6652" width="11.28515625" style="1194" customWidth="1"/>
    <col min="6653" max="6654" width="9.140625" style="1194" bestFit="1" customWidth="1"/>
    <col min="6655" max="6656" width="11.140625" style="1194" bestFit="1" customWidth="1"/>
    <col min="6657" max="6657" width="11.5703125" style="1194" bestFit="1" customWidth="1"/>
    <col min="6658" max="6658" width="9.140625" style="1194" bestFit="1" customWidth="1"/>
    <col min="6659" max="6659" width="10.28515625" style="1194" customWidth="1"/>
    <col min="6660" max="6898" width="9.140625" style="1194"/>
    <col min="6899" max="6899" width="4.28515625" style="1194" bestFit="1" customWidth="1"/>
    <col min="6900" max="6900" width="6.85546875" style="1194" bestFit="1" customWidth="1"/>
    <col min="6901" max="6901" width="11" style="1194" customWidth="1"/>
    <col min="6902" max="6902" width="11.140625" style="1194" bestFit="1" customWidth="1"/>
    <col min="6903" max="6903" width="10.85546875" style="1194" customWidth="1"/>
    <col min="6904" max="6904" width="11.5703125" style="1194" customWidth="1"/>
    <col min="6905" max="6905" width="11.140625" style="1194" bestFit="1" customWidth="1"/>
    <col min="6906" max="6906" width="11" style="1194" customWidth="1"/>
    <col min="6907" max="6907" width="10.42578125" style="1194" customWidth="1"/>
    <col min="6908" max="6908" width="11.28515625" style="1194" customWidth="1"/>
    <col min="6909" max="6910" width="9.140625" style="1194" bestFit="1" customWidth="1"/>
    <col min="6911" max="6912" width="11.140625" style="1194" bestFit="1" customWidth="1"/>
    <col min="6913" max="6913" width="11.5703125" style="1194" bestFit="1" customWidth="1"/>
    <col min="6914" max="6914" width="9.140625" style="1194" bestFit="1" customWidth="1"/>
    <col min="6915" max="6915" width="10.28515625" style="1194" customWidth="1"/>
    <col min="6916" max="7154" width="9.140625" style="1194"/>
    <col min="7155" max="7155" width="4.28515625" style="1194" bestFit="1" customWidth="1"/>
    <col min="7156" max="7156" width="6.85546875" style="1194" bestFit="1" customWidth="1"/>
    <col min="7157" max="7157" width="11" style="1194" customWidth="1"/>
    <col min="7158" max="7158" width="11.140625" style="1194" bestFit="1" customWidth="1"/>
    <col min="7159" max="7159" width="10.85546875" style="1194" customWidth="1"/>
    <col min="7160" max="7160" width="11.5703125" style="1194" customWidth="1"/>
    <col min="7161" max="7161" width="11.140625" style="1194" bestFit="1" customWidth="1"/>
    <col min="7162" max="7162" width="11" style="1194" customWidth="1"/>
    <col min="7163" max="7163" width="10.42578125" style="1194" customWidth="1"/>
    <col min="7164" max="7164" width="11.28515625" style="1194" customWidth="1"/>
    <col min="7165" max="7166" width="9.140625" style="1194" bestFit="1" customWidth="1"/>
    <col min="7167" max="7168" width="11.140625" style="1194" bestFit="1" customWidth="1"/>
    <col min="7169" max="7169" width="11.5703125" style="1194" bestFit="1" customWidth="1"/>
    <col min="7170" max="7170" width="9.140625" style="1194" bestFit="1" customWidth="1"/>
    <col min="7171" max="7171" width="10.28515625" style="1194" customWidth="1"/>
    <col min="7172" max="7410" width="9.140625" style="1194"/>
    <col min="7411" max="7411" width="4.28515625" style="1194" bestFit="1" customWidth="1"/>
    <col min="7412" max="7412" width="6.85546875" style="1194" bestFit="1" customWidth="1"/>
    <col min="7413" max="7413" width="11" style="1194" customWidth="1"/>
    <col min="7414" max="7414" width="11.140625" style="1194" bestFit="1" customWidth="1"/>
    <col min="7415" max="7415" width="10.85546875" style="1194" customWidth="1"/>
    <col min="7416" max="7416" width="11.5703125" style="1194" customWidth="1"/>
    <col min="7417" max="7417" width="11.140625" style="1194" bestFit="1" customWidth="1"/>
    <col min="7418" max="7418" width="11" style="1194" customWidth="1"/>
    <col min="7419" max="7419" width="10.42578125" style="1194" customWidth="1"/>
    <col min="7420" max="7420" width="11.28515625" style="1194" customWidth="1"/>
    <col min="7421" max="7422" width="9.140625" style="1194" bestFit="1" customWidth="1"/>
    <col min="7423" max="7424" width="11.140625" style="1194" bestFit="1" customWidth="1"/>
    <col min="7425" max="7425" width="11.5703125" style="1194" bestFit="1" customWidth="1"/>
    <col min="7426" max="7426" width="9.140625" style="1194" bestFit="1" customWidth="1"/>
    <col min="7427" max="7427" width="10.28515625" style="1194" customWidth="1"/>
    <col min="7428" max="7666" width="9.140625" style="1194"/>
    <col min="7667" max="7667" width="4.28515625" style="1194" bestFit="1" customWidth="1"/>
    <col min="7668" max="7668" width="6.85546875" style="1194" bestFit="1" customWidth="1"/>
    <col min="7669" max="7669" width="11" style="1194" customWidth="1"/>
    <col min="7670" max="7670" width="11.140625" style="1194" bestFit="1" customWidth="1"/>
    <col min="7671" max="7671" width="10.85546875" style="1194" customWidth="1"/>
    <col min="7672" max="7672" width="11.5703125" style="1194" customWidth="1"/>
    <col min="7673" max="7673" width="11.140625" style="1194" bestFit="1" customWidth="1"/>
    <col min="7674" max="7674" width="11" style="1194" customWidth="1"/>
    <col min="7675" max="7675" width="10.42578125" style="1194" customWidth="1"/>
    <col min="7676" max="7676" width="11.28515625" style="1194" customWidth="1"/>
    <col min="7677" max="7678" width="9.140625" style="1194" bestFit="1" customWidth="1"/>
    <col min="7679" max="7680" width="11.140625" style="1194" bestFit="1" customWidth="1"/>
    <col min="7681" max="7681" width="11.5703125" style="1194" bestFit="1" customWidth="1"/>
    <col min="7682" max="7682" width="9.140625" style="1194" bestFit="1" customWidth="1"/>
    <col min="7683" max="7683" width="10.28515625" style="1194" customWidth="1"/>
    <col min="7684" max="7922" width="9.140625" style="1194"/>
    <col min="7923" max="7923" width="4.28515625" style="1194" bestFit="1" customWidth="1"/>
    <col min="7924" max="7924" width="6.85546875" style="1194" bestFit="1" customWidth="1"/>
    <col min="7925" max="7925" width="11" style="1194" customWidth="1"/>
    <col min="7926" max="7926" width="11.140625" style="1194" bestFit="1" customWidth="1"/>
    <col min="7927" max="7927" width="10.85546875" style="1194" customWidth="1"/>
    <col min="7928" max="7928" width="11.5703125" style="1194" customWidth="1"/>
    <col min="7929" max="7929" width="11.140625" style="1194" bestFit="1" customWidth="1"/>
    <col min="7930" max="7930" width="11" style="1194" customWidth="1"/>
    <col min="7931" max="7931" width="10.42578125" style="1194" customWidth="1"/>
    <col min="7932" max="7932" width="11.28515625" style="1194" customWidth="1"/>
    <col min="7933" max="7934" width="9.140625" style="1194" bestFit="1" customWidth="1"/>
    <col min="7935" max="7936" width="11.140625" style="1194" bestFit="1" customWidth="1"/>
    <col min="7937" max="7937" width="11.5703125" style="1194" bestFit="1" customWidth="1"/>
    <col min="7938" max="7938" width="9.140625" style="1194" bestFit="1" customWidth="1"/>
    <col min="7939" max="7939" width="10.28515625" style="1194" customWidth="1"/>
    <col min="7940" max="8178" width="9.140625" style="1194"/>
    <col min="8179" max="8179" width="4.28515625" style="1194" bestFit="1" customWidth="1"/>
    <col min="8180" max="8180" width="6.85546875" style="1194" bestFit="1" customWidth="1"/>
    <col min="8181" max="8181" width="11" style="1194" customWidth="1"/>
    <col min="8182" max="8182" width="11.140625" style="1194" bestFit="1" customWidth="1"/>
    <col min="8183" max="8183" width="10.85546875" style="1194" customWidth="1"/>
    <col min="8184" max="8184" width="11.5703125" style="1194" customWidth="1"/>
    <col min="8185" max="8185" width="11.140625" style="1194" bestFit="1" customWidth="1"/>
    <col min="8186" max="8186" width="11" style="1194" customWidth="1"/>
    <col min="8187" max="8187" width="10.42578125" style="1194" customWidth="1"/>
    <col min="8188" max="8188" width="11.28515625" style="1194" customWidth="1"/>
    <col min="8189" max="8190" width="9.140625" style="1194" bestFit="1" customWidth="1"/>
    <col min="8191" max="8192" width="11.140625" style="1194" bestFit="1" customWidth="1"/>
    <col min="8193" max="8193" width="11.5703125" style="1194" bestFit="1" customWidth="1"/>
    <col min="8194" max="8194" width="9.140625" style="1194" bestFit="1" customWidth="1"/>
    <col min="8195" max="8195" width="10.28515625" style="1194" customWidth="1"/>
    <col min="8196" max="8434" width="9.140625" style="1194"/>
    <col min="8435" max="8435" width="4.28515625" style="1194" bestFit="1" customWidth="1"/>
    <col min="8436" max="8436" width="6.85546875" style="1194" bestFit="1" customWidth="1"/>
    <col min="8437" max="8437" width="11" style="1194" customWidth="1"/>
    <col min="8438" max="8438" width="11.140625" style="1194" bestFit="1" customWidth="1"/>
    <col min="8439" max="8439" width="10.85546875" style="1194" customWidth="1"/>
    <col min="8440" max="8440" width="11.5703125" style="1194" customWidth="1"/>
    <col min="8441" max="8441" width="11.140625" style="1194" bestFit="1" customWidth="1"/>
    <col min="8442" max="8442" width="11" style="1194" customWidth="1"/>
    <col min="8443" max="8443" width="10.42578125" style="1194" customWidth="1"/>
    <col min="8444" max="8444" width="11.28515625" style="1194" customWidth="1"/>
    <col min="8445" max="8446" width="9.140625" style="1194" bestFit="1" customWidth="1"/>
    <col min="8447" max="8448" width="11.140625" style="1194" bestFit="1" customWidth="1"/>
    <col min="8449" max="8449" width="11.5703125" style="1194" bestFit="1" customWidth="1"/>
    <col min="8450" max="8450" width="9.140625" style="1194" bestFit="1" customWidth="1"/>
    <col min="8451" max="8451" width="10.28515625" style="1194" customWidth="1"/>
    <col min="8452" max="8690" width="9.140625" style="1194"/>
    <col min="8691" max="8691" width="4.28515625" style="1194" bestFit="1" customWidth="1"/>
    <col min="8692" max="8692" width="6.85546875" style="1194" bestFit="1" customWidth="1"/>
    <col min="8693" max="8693" width="11" style="1194" customWidth="1"/>
    <col min="8694" max="8694" width="11.140625" style="1194" bestFit="1" customWidth="1"/>
    <col min="8695" max="8695" width="10.85546875" style="1194" customWidth="1"/>
    <col min="8696" max="8696" width="11.5703125" style="1194" customWidth="1"/>
    <col min="8697" max="8697" width="11.140625" style="1194" bestFit="1" customWidth="1"/>
    <col min="8698" max="8698" width="11" style="1194" customWidth="1"/>
    <col min="8699" max="8699" width="10.42578125" style="1194" customWidth="1"/>
    <col min="8700" max="8700" width="11.28515625" style="1194" customWidth="1"/>
    <col min="8701" max="8702" width="9.140625" style="1194" bestFit="1" customWidth="1"/>
    <col min="8703" max="8704" width="11.140625" style="1194" bestFit="1" customWidth="1"/>
    <col min="8705" max="8705" width="11.5703125" style="1194" bestFit="1" customWidth="1"/>
    <col min="8706" max="8706" width="9.140625" style="1194" bestFit="1" customWidth="1"/>
    <col min="8707" max="8707" width="10.28515625" style="1194" customWidth="1"/>
    <col min="8708" max="8946" width="9.140625" style="1194"/>
    <col min="8947" max="8947" width="4.28515625" style="1194" bestFit="1" customWidth="1"/>
    <col min="8948" max="8948" width="6.85546875" style="1194" bestFit="1" customWidth="1"/>
    <col min="8949" max="8949" width="11" style="1194" customWidth="1"/>
    <col min="8950" max="8950" width="11.140625" style="1194" bestFit="1" customWidth="1"/>
    <col min="8951" max="8951" width="10.85546875" style="1194" customWidth="1"/>
    <col min="8952" max="8952" width="11.5703125" style="1194" customWidth="1"/>
    <col min="8953" max="8953" width="11.140625" style="1194" bestFit="1" customWidth="1"/>
    <col min="8954" max="8954" width="11" style="1194" customWidth="1"/>
    <col min="8955" max="8955" width="10.42578125" style="1194" customWidth="1"/>
    <col min="8956" max="8956" width="11.28515625" style="1194" customWidth="1"/>
    <col min="8957" max="8958" width="9.140625" style="1194" bestFit="1" customWidth="1"/>
    <col min="8959" max="8960" width="11.140625" style="1194" bestFit="1" customWidth="1"/>
    <col min="8961" max="8961" width="11.5703125" style="1194" bestFit="1" customWidth="1"/>
    <col min="8962" max="8962" width="9.140625" style="1194" bestFit="1" customWidth="1"/>
    <col min="8963" max="8963" width="10.28515625" style="1194" customWidth="1"/>
    <col min="8964" max="9202" width="9.140625" style="1194"/>
    <col min="9203" max="9203" width="4.28515625" style="1194" bestFit="1" customWidth="1"/>
    <col min="9204" max="9204" width="6.85546875" style="1194" bestFit="1" customWidth="1"/>
    <col min="9205" max="9205" width="11" style="1194" customWidth="1"/>
    <col min="9206" max="9206" width="11.140625" style="1194" bestFit="1" customWidth="1"/>
    <col min="9207" max="9207" width="10.85546875" style="1194" customWidth="1"/>
    <col min="9208" max="9208" width="11.5703125" style="1194" customWidth="1"/>
    <col min="9209" max="9209" width="11.140625" style="1194" bestFit="1" customWidth="1"/>
    <col min="9210" max="9210" width="11" style="1194" customWidth="1"/>
    <col min="9211" max="9211" width="10.42578125" style="1194" customWidth="1"/>
    <col min="9212" max="9212" width="11.28515625" style="1194" customWidth="1"/>
    <col min="9213" max="9214" width="9.140625" style="1194" bestFit="1" customWidth="1"/>
    <col min="9215" max="9216" width="11.140625" style="1194" bestFit="1" customWidth="1"/>
    <col min="9217" max="9217" width="11.5703125" style="1194" bestFit="1" customWidth="1"/>
    <col min="9218" max="9218" width="9.140625" style="1194" bestFit="1" customWidth="1"/>
    <col min="9219" max="9219" width="10.28515625" style="1194" customWidth="1"/>
    <col min="9220" max="9458" width="9.140625" style="1194"/>
    <col min="9459" max="9459" width="4.28515625" style="1194" bestFit="1" customWidth="1"/>
    <col min="9460" max="9460" width="6.85546875" style="1194" bestFit="1" customWidth="1"/>
    <col min="9461" max="9461" width="11" style="1194" customWidth="1"/>
    <col min="9462" max="9462" width="11.140625" style="1194" bestFit="1" customWidth="1"/>
    <col min="9463" max="9463" width="10.85546875" style="1194" customWidth="1"/>
    <col min="9464" max="9464" width="11.5703125" style="1194" customWidth="1"/>
    <col min="9465" max="9465" width="11.140625" style="1194" bestFit="1" customWidth="1"/>
    <col min="9466" max="9466" width="11" style="1194" customWidth="1"/>
    <col min="9467" max="9467" width="10.42578125" style="1194" customWidth="1"/>
    <col min="9468" max="9468" width="11.28515625" style="1194" customWidth="1"/>
    <col min="9469" max="9470" width="9.140625" style="1194" bestFit="1" customWidth="1"/>
    <col min="9471" max="9472" width="11.140625" style="1194" bestFit="1" customWidth="1"/>
    <col min="9473" max="9473" width="11.5703125" style="1194" bestFit="1" customWidth="1"/>
    <col min="9474" max="9474" width="9.140625" style="1194" bestFit="1" customWidth="1"/>
    <col min="9475" max="9475" width="10.28515625" style="1194" customWidth="1"/>
    <col min="9476" max="9714" width="9.140625" style="1194"/>
    <col min="9715" max="9715" width="4.28515625" style="1194" bestFit="1" customWidth="1"/>
    <col min="9716" max="9716" width="6.85546875" style="1194" bestFit="1" customWidth="1"/>
    <col min="9717" max="9717" width="11" style="1194" customWidth="1"/>
    <col min="9718" max="9718" width="11.140625" style="1194" bestFit="1" customWidth="1"/>
    <col min="9719" max="9719" width="10.85546875" style="1194" customWidth="1"/>
    <col min="9720" max="9720" width="11.5703125" style="1194" customWidth="1"/>
    <col min="9721" max="9721" width="11.140625" style="1194" bestFit="1" customWidth="1"/>
    <col min="9722" max="9722" width="11" style="1194" customWidth="1"/>
    <col min="9723" max="9723" width="10.42578125" style="1194" customWidth="1"/>
    <col min="9724" max="9724" width="11.28515625" style="1194" customWidth="1"/>
    <col min="9725" max="9726" width="9.140625" style="1194" bestFit="1" customWidth="1"/>
    <col min="9727" max="9728" width="11.140625" style="1194" bestFit="1" customWidth="1"/>
    <col min="9729" max="9729" width="11.5703125" style="1194" bestFit="1" customWidth="1"/>
    <col min="9730" max="9730" width="9.140625" style="1194" bestFit="1" customWidth="1"/>
    <col min="9731" max="9731" width="10.28515625" style="1194" customWidth="1"/>
    <col min="9732" max="9970" width="9.140625" style="1194"/>
    <col min="9971" max="9971" width="4.28515625" style="1194" bestFit="1" customWidth="1"/>
    <col min="9972" max="9972" width="6.85546875" style="1194" bestFit="1" customWidth="1"/>
    <col min="9973" max="9973" width="11" style="1194" customWidth="1"/>
    <col min="9974" max="9974" width="11.140625" style="1194" bestFit="1" customWidth="1"/>
    <col min="9975" max="9975" width="10.85546875" style="1194" customWidth="1"/>
    <col min="9976" max="9976" width="11.5703125" style="1194" customWidth="1"/>
    <col min="9977" max="9977" width="11.140625" style="1194" bestFit="1" customWidth="1"/>
    <col min="9978" max="9978" width="11" style="1194" customWidth="1"/>
    <col min="9979" max="9979" width="10.42578125" style="1194" customWidth="1"/>
    <col min="9980" max="9980" width="11.28515625" style="1194" customWidth="1"/>
    <col min="9981" max="9982" width="9.140625" style="1194" bestFit="1" customWidth="1"/>
    <col min="9983" max="9984" width="11.140625" style="1194" bestFit="1" customWidth="1"/>
    <col min="9985" max="9985" width="11.5703125" style="1194" bestFit="1" customWidth="1"/>
    <col min="9986" max="9986" width="9.140625" style="1194" bestFit="1" customWidth="1"/>
    <col min="9987" max="9987" width="10.28515625" style="1194" customWidth="1"/>
    <col min="9988" max="10226" width="9.140625" style="1194"/>
    <col min="10227" max="10227" width="4.28515625" style="1194" bestFit="1" customWidth="1"/>
    <col min="10228" max="10228" width="6.85546875" style="1194" bestFit="1" customWidth="1"/>
    <col min="10229" max="10229" width="11" style="1194" customWidth="1"/>
    <col min="10230" max="10230" width="11.140625" style="1194" bestFit="1" customWidth="1"/>
    <col min="10231" max="10231" width="10.85546875" style="1194" customWidth="1"/>
    <col min="10232" max="10232" width="11.5703125" style="1194" customWidth="1"/>
    <col min="10233" max="10233" width="11.140625" style="1194" bestFit="1" customWidth="1"/>
    <col min="10234" max="10234" width="11" style="1194" customWidth="1"/>
    <col min="10235" max="10235" width="10.42578125" style="1194" customWidth="1"/>
    <col min="10236" max="10236" width="11.28515625" style="1194" customWidth="1"/>
    <col min="10237" max="10238" width="9.140625" style="1194" bestFit="1" customWidth="1"/>
    <col min="10239" max="10240" width="11.140625" style="1194" bestFit="1" customWidth="1"/>
    <col min="10241" max="10241" width="11.5703125" style="1194" bestFit="1" customWidth="1"/>
    <col min="10242" max="10242" width="9.140625" style="1194" bestFit="1" customWidth="1"/>
    <col min="10243" max="10243" width="10.28515625" style="1194" customWidth="1"/>
    <col min="10244" max="10482" width="9.140625" style="1194"/>
    <col min="10483" max="10483" width="4.28515625" style="1194" bestFit="1" customWidth="1"/>
    <col min="10484" max="10484" width="6.85546875" style="1194" bestFit="1" customWidth="1"/>
    <col min="10485" max="10485" width="11" style="1194" customWidth="1"/>
    <col min="10486" max="10486" width="11.140625" style="1194" bestFit="1" customWidth="1"/>
    <col min="10487" max="10487" width="10.85546875" style="1194" customWidth="1"/>
    <col min="10488" max="10488" width="11.5703125" style="1194" customWidth="1"/>
    <col min="10489" max="10489" width="11.140625" style="1194" bestFit="1" customWidth="1"/>
    <col min="10490" max="10490" width="11" style="1194" customWidth="1"/>
    <col min="10491" max="10491" width="10.42578125" style="1194" customWidth="1"/>
    <col min="10492" max="10492" width="11.28515625" style="1194" customWidth="1"/>
    <col min="10493" max="10494" width="9.140625" style="1194" bestFit="1" customWidth="1"/>
    <col min="10495" max="10496" width="11.140625" style="1194" bestFit="1" customWidth="1"/>
    <col min="10497" max="10497" width="11.5703125" style="1194" bestFit="1" customWidth="1"/>
    <col min="10498" max="10498" width="9.140625" style="1194" bestFit="1" customWidth="1"/>
    <col min="10499" max="10499" width="10.28515625" style="1194" customWidth="1"/>
    <col min="10500" max="10738" width="9.140625" style="1194"/>
    <col min="10739" max="10739" width="4.28515625" style="1194" bestFit="1" customWidth="1"/>
    <col min="10740" max="10740" width="6.85546875" style="1194" bestFit="1" customWidth="1"/>
    <col min="10741" max="10741" width="11" style="1194" customWidth="1"/>
    <col min="10742" max="10742" width="11.140625" style="1194" bestFit="1" customWidth="1"/>
    <col min="10743" max="10743" width="10.85546875" style="1194" customWidth="1"/>
    <col min="10744" max="10744" width="11.5703125" style="1194" customWidth="1"/>
    <col min="10745" max="10745" width="11.140625" style="1194" bestFit="1" customWidth="1"/>
    <col min="10746" max="10746" width="11" style="1194" customWidth="1"/>
    <col min="10747" max="10747" width="10.42578125" style="1194" customWidth="1"/>
    <col min="10748" max="10748" width="11.28515625" style="1194" customWidth="1"/>
    <col min="10749" max="10750" width="9.140625" style="1194" bestFit="1" customWidth="1"/>
    <col min="10751" max="10752" width="11.140625" style="1194" bestFit="1" customWidth="1"/>
    <col min="10753" max="10753" width="11.5703125" style="1194" bestFit="1" customWidth="1"/>
    <col min="10754" max="10754" width="9.140625" style="1194" bestFit="1" customWidth="1"/>
    <col min="10755" max="10755" width="10.28515625" style="1194" customWidth="1"/>
    <col min="10756" max="10994" width="9.140625" style="1194"/>
    <col min="10995" max="10995" width="4.28515625" style="1194" bestFit="1" customWidth="1"/>
    <col min="10996" max="10996" width="6.85546875" style="1194" bestFit="1" customWidth="1"/>
    <col min="10997" max="10997" width="11" style="1194" customWidth="1"/>
    <col min="10998" max="10998" width="11.140625" style="1194" bestFit="1" customWidth="1"/>
    <col min="10999" max="10999" width="10.85546875" style="1194" customWidth="1"/>
    <col min="11000" max="11000" width="11.5703125" style="1194" customWidth="1"/>
    <col min="11001" max="11001" width="11.140625" style="1194" bestFit="1" customWidth="1"/>
    <col min="11002" max="11002" width="11" style="1194" customWidth="1"/>
    <col min="11003" max="11003" width="10.42578125" style="1194" customWidth="1"/>
    <col min="11004" max="11004" width="11.28515625" style="1194" customWidth="1"/>
    <col min="11005" max="11006" width="9.140625" style="1194" bestFit="1" customWidth="1"/>
    <col min="11007" max="11008" width="11.140625" style="1194" bestFit="1" customWidth="1"/>
    <col min="11009" max="11009" width="11.5703125" style="1194" bestFit="1" customWidth="1"/>
    <col min="11010" max="11010" width="9.140625" style="1194" bestFit="1" customWidth="1"/>
    <col min="11011" max="11011" width="10.28515625" style="1194" customWidth="1"/>
    <col min="11012" max="11250" width="9.140625" style="1194"/>
    <col min="11251" max="11251" width="4.28515625" style="1194" bestFit="1" customWidth="1"/>
    <col min="11252" max="11252" width="6.85546875" style="1194" bestFit="1" customWidth="1"/>
    <col min="11253" max="11253" width="11" style="1194" customWidth="1"/>
    <col min="11254" max="11254" width="11.140625" style="1194" bestFit="1" customWidth="1"/>
    <col min="11255" max="11255" width="10.85546875" style="1194" customWidth="1"/>
    <col min="11256" max="11256" width="11.5703125" style="1194" customWidth="1"/>
    <col min="11257" max="11257" width="11.140625" style="1194" bestFit="1" customWidth="1"/>
    <col min="11258" max="11258" width="11" style="1194" customWidth="1"/>
    <col min="11259" max="11259" width="10.42578125" style="1194" customWidth="1"/>
    <col min="11260" max="11260" width="11.28515625" style="1194" customWidth="1"/>
    <col min="11261" max="11262" width="9.140625" style="1194" bestFit="1" customWidth="1"/>
    <col min="11263" max="11264" width="11.140625" style="1194" bestFit="1" customWidth="1"/>
    <col min="11265" max="11265" width="11.5703125" style="1194" bestFit="1" customWidth="1"/>
    <col min="11266" max="11266" width="9.140625" style="1194" bestFit="1" customWidth="1"/>
    <col min="11267" max="11267" width="10.28515625" style="1194" customWidth="1"/>
    <col min="11268" max="11506" width="9.140625" style="1194"/>
    <col min="11507" max="11507" width="4.28515625" style="1194" bestFit="1" customWidth="1"/>
    <col min="11508" max="11508" width="6.85546875" style="1194" bestFit="1" customWidth="1"/>
    <col min="11509" max="11509" width="11" style="1194" customWidth="1"/>
    <col min="11510" max="11510" width="11.140625" style="1194" bestFit="1" customWidth="1"/>
    <col min="11511" max="11511" width="10.85546875" style="1194" customWidth="1"/>
    <col min="11512" max="11512" width="11.5703125" style="1194" customWidth="1"/>
    <col min="11513" max="11513" width="11.140625" style="1194" bestFit="1" customWidth="1"/>
    <col min="11514" max="11514" width="11" style="1194" customWidth="1"/>
    <col min="11515" max="11515" width="10.42578125" style="1194" customWidth="1"/>
    <col min="11516" max="11516" width="11.28515625" style="1194" customWidth="1"/>
    <col min="11517" max="11518" width="9.140625" style="1194" bestFit="1" customWidth="1"/>
    <col min="11519" max="11520" width="11.140625" style="1194" bestFit="1" customWidth="1"/>
    <col min="11521" max="11521" width="11.5703125" style="1194" bestFit="1" customWidth="1"/>
    <col min="11522" max="11522" width="9.140625" style="1194" bestFit="1" customWidth="1"/>
    <col min="11523" max="11523" width="10.28515625" style="1194" customWidth="1"/>
    <col min="11524" max="11762" width="9.140625" style="1194"/>
    <col min="11763" max="11763" width="4.28515625" style="1194" bestFit="1" customWidth="1"/>
    <col min="11764" max="11764" width="6.85546875" style="1194" bestFit="1" customWidth="1"/>
    <col min="11765" max="11765" width="11" style="1194" customWidth="1"/>
    <col min="11766" max="11766" width="11.140625" style="1194" bestFit="1" customWidth="1"/>
    <col min="11767" max="11767" width="10.85546875" style="1194" customWidth="1"/>
    <col min="11768" max="11768" width="11.5703125" style="1194" customWidth="1"/>
    <col min="11769" max="11769" width="11.140625" style="1194" bestFit="1" customWidth="1"/>
    <col min="11770" max="11770" width="11" style="1194" customWidth="1"/>
    <col min="11771" max="11771" width="10.42578125" style="1194" customWidth="1"/>
    <col min="11772" max="11772" width="11.28515625" style="1194" customWidth="1"/>
    <col min="11773" max="11774" width="9.140625" style="1194" bestFit="1" customWidth="1"/>
    <col min="11775" max="11776" width="11.140625" style="1194" bestFit="1" customWidth="1"/>
    <col min="11777" max="11777" width="11.5703125" style="1194" bestFit="1" customWidth="1"/>
    <col min="11778" max="11778" width="9.140625" style="1194" bestFit="1" customWidth="1"/>
    <col min="11779" max="11779" width="10.28515625" style="1194" customWidth="1"/>
    <col min="11780" max="12018" width="9.140625" style="1194"/>
    <col min="12019" max="12019" width="4.28515625" style="1194" bestFit="1" customWidth="1"/>
    <col min="12020" max="12020" width="6.85546875" style="1194" bestFit="1" customWidth="1"/>
    <col min="12021" max="12021" width="11" style="1194" customWidth="1"/>
    <col min="12022" max="12022" width="11.140625" style="1194" bestFit="1" customWidth="1"/>
    <col min="12023" max="12023" width="10.85546875" style="1194" customWidth="1"/>
    <col min="12024" max="12024" width="11.5703125" style="1194" customWidth="1"/>
    <col min="12025" max="12025" width="11.140625" style="1194" bestFit="1" customWidth="1"/>
    <col min="12026" max="12026" width="11" style="1194" customWidth="1"/>
    <col min="12027" max="12027" width="10.42578125" style="1194" customWidth="1"/>
    <col min="12028" max="12028" width="11.28515625" style="1194" customWidth="1"/>
    <col min="12029" max="12030" width="9.140625" style="1194" bestFit="1" customWidth="1"/>
    <col min="12031" max="12032" width="11.140625" style="1194" bestFit="1" customWidth="1"/>
    <col min="12033" max="12033" width="11.5703125" style="1194" bestFit="1" customWidth="1"/>
    <col min="12034" max="12034" width="9.140625" style="1194" bestFit="1" customWidth="1"/>
    <col min="12035" max="12035" width="10.28515625" style="1194" customWidth="1"/>
    <col min="12036" max="12274" width="9.140625" style="1194"/>
    <col min="12275" max="12275" width="4.28515625" style="1194" bestFit="1" customWidth="1"/>
    <col min="12276" max="12276" width="6.85546875" style="1194" bestFit="1" customWidth="1"/>
    <col min="12277" max="12277" width="11" style="1194" customWidth="1"/>
    <col min="12278" max="12278" width="11.140625" style="1194" bestFit="1" customWidth="1"/>
    <col min="12279" max="12279" width="10.85546875" style="1194" customWidth="1"/>
    <col min="12280" max="12280" width="11.5703125" style="1194" customWidth="1"/>
    <col min="12281" max="12281" width="11.140625" style="1194" bestFit="1" customWidth="1"/>
    <col min="12282" max="12282" width="11" style="1194" customWidth="1"/>
    <col min="12283" max="12283" width="10.42578125" style="1194" customWidth="1"/>
    <col min="12284" max="12284" width="11.28515625" style="1194" customWidth="1"/>
    <col min="12285" max="12286" width="9.140625" style="1194" bestFit="1" customWidth="1"/>
    <col min="12287" max="12288" width="11.140625" style="1194" bestFit="1" customWidth="1"/>
    <col min="12289" max="12289" width="11.5703125" style="1194" bestFit="1" customWidth="1"/>
    <col min="12290" max="12290" width="9.140625" style="1194" bestFit="1" customWidth="1"/>
    <col min="12291" max="12291" width="10.28515625" style="1194" customWidth="1"/>
    <col min="12292" max="12530" width="9.140625" style="1194"/>
    <col min="12531" max="12531" width="4.28515625" style="1194" bestFit="1" customWidth="1"/>
    <col min="12532" max="12532" width="6.85546875" style="1194" bestFit="1" customWidth="1"/>
    <col min="12533" max="12533" width="11" style="1194" customWidth="1"/>
    <col min="12534" max="12534" width="11.140625" style="1194" bestFit="1" customWidth="1"/>
    <col min="12535" max="12535" width="10.85546875" style="1194" customWidth="1"/>
    <col min="12536" max="12536" width="11.5703125" style="1194" customWidth="1"/>
    <col min="12537" max="12537" width="11.140625" style="1194" bestFit="1" customWidth="1"/>
    <col min="12538" max="12538" width="11" style="1194" customWidth="1"/>
    <col min="12539" max="12539" width="10.42578125" style="1194" customWidth="1"/>
    <col min="12540" max="12540" width="11.28515625" style="1194" customWidth="1"/>
    <col min="12541" max="12542" width="9.140625" style="1194" bestFit="1" customWidth="1"/>
    <col min="12543" max="12544" width="11.140625" style="1194" bestFit="1" customWidth="1"/>
    <col min="12545" max="12545" width="11.5703125" style="1194" bestFit="1" customWidth="1"/>
    <col min="12546" max="12546" width="9.140625" style="1194" bestFit="1" customWidth="1"/>
    <col min="12547" max="12547" width="10.28515625" style="1194" customWidth="1"/>
    <col min="12548" max="12786" width="9.140625" style="1194"/>
    <col min="12787" max="12787" width="4.28515625" style="1194" bestFit="1" customWidth="1"/>
    <col min="12788" max="12788" width="6.85546875" style="1194" bestFit="1" customWidth="1"/>
    <col min="12789" max="12789" width="11" style="1194" customWidth="1"/>
    <col min="12790" max="12790" width="11.140625" style="1194" bestFit="1" customWidth="1"/>
    <col min="12791" max="12791" width="10.85546875" style="1194" customWidth="1"/>
    <col min="12792" max="12792" width="11.5703125" style="1194" customWidth="1"/>
    <col min="12793" max="12793" width="11.140625" style="1194" bestFit="1" customWidth="1"/>
    <col min="12794" max="12794" width="11" style="1194" customWidth="1"/>
    <col min="12795" max="12795" width="10.42578125" style="1194" customWidth="1"/>
    <col min="12796" max="12796" width="11.28515625" style="1194" customWidth="1"/>
    <col min="12797" max="12798" width="9.140625" style="1194" bestFit="1" customWidth="1"/>
    <col min="12799" max="12800" width="11.140625" style="1194" bestFit="1" customWidth="1"/>
    <col min="12801" max="12801" width="11.5703125" style="1194" bestFit="1" customWidth="1"/>
    <col min="12802" max="12802" width="9.140625" style="1194" bestFit="1" customWidth="1"/>
    <col min="12803" max="12803" width="10.28515625" style="1194" customWidth="1"/>
    <col min="12804" max="13042" width="9.140625" style="1194"/>
    <col min="13043" max="13043" width="4.28515625" style="1194" bestFit="1" customWidth="1"/>
    <col min="13044" max="13044" width="6.85546875" style="1194" bestFit="1" customWidth="1"/>
    <col min="13045" max="13045" width="11" style="1194" customWidth="1"/>
    <col min="13046" max="13046" width="11.140625" style="1194" bestFit="1" customWidth="1"/>
    <col min="13047" max="13047" width="10.85546875" style="1194" customWidth="1"/>
    <col min="13048" max="13048" width="11.5703125" style="1194" customWidth="1"/>
    <col min="13049" max="13049" width="11.140625" style="1194" bestFit="1" customWidth="1"/>
    <col min="13050" max="13050" width="11" style="1194" customWidth="1"/>
    <col min="13051" max="13051" width="10.42578125" style="1194" customWidth="1"/>
    <col min="13052" max="13052" width="11.28515625" style="1194" customWidth="1"/>
    <col min="13053" max="13054" width="9.140625" style="1194" bestFit="1" customWidth="1"/>
    <col min="13055" max="13056" width="11.140625" style="1194" bestFit="1" customWidth="1"/>
    <col min="13057" max="13057" width="11.5703125" style="1194" bestFit="1" customWidth="1"/>
    <col min="13058" max="13058" width="9.140625" style="1194" bestFit="1" customWidth="1"/>
    <col min="13059" max="13059" width="10.28515625" style="1194" customWidth="1"/>
    <col min="13060" max="13298" width="9.140625" style="1194"/>
    <col min="13299" max="13299" width="4.28515625" style="1194" bestFit="1" customWidth="1"/>
    <col min="13300" max="13300" width="6.85546875" style="1194" bestFit="1" customWidth="1"/>
    <col min="13301" max="13301" width="11" style="1194" customWidth="1"/>
    <col min="13302" max="13302" width="11.140625" style="1194" bestFit="1" customWidth="1"/>
    <col min="13303" max="13303" width="10.85546875" style="1194" customWidth="1"/>
    <col min="13304" max="13304" width="11.5703125" style="1194" customWidth="1"/>
    <col min="13305" max="13305" width="11.140625" style="1194" bestFit="1" customWidth="1"/>
    <col min="13306" max="13306" width="11" style="1194" customWidth="1"/>
    <col min="13307" max="13307" width="10.42578125" style="1194" customWidth="1"/>
    <col min="13308" max="13308" width="11.28515625" style="1194" customWidth="1"/>
    <col min="13309" max="13310" width="9.140625" style="1194" bestFit="1" customWidth="1"/>
    <col min="13311" max="13312" width="11.140625" style="1194" bestFit="1" customWidth="1"/>
    <col min="13313" max="13313" width="11.5703125" style="1194" bestFit="1" customWidth="1"/>
    <col min="13314" max="13314" width="9.140625" style="1194" bestFit="1" customWidth="1"/>
    <col min="13315" max="13315" width="10.28515625" style="1194" customWidth="1"/>
    <col min="13316" max="13554" width="9.140625" style="1194"/>
    <col min="13555" max="13555" width="4.28515625" style="1194" bestFit="1" customWidth="1"/>
    <col min="13556" max="13556" width="6.85546875" style="1194" bestFit="1" customWidth="1"/>
    <col min="13557" max="13557" width="11" style="1194" customWidth="1"/>
    <col min="13558" max="13558" width="11.140625" style="1194" bestFit="1" customWidth="1"/>
    <col min="13559" max="13559" width="10.85546875" style="1194" customWidth="1"/>
    <col min="13560" max="13560" width="11.5703125" style="1194" customWidth="1"/>
    <col min="13561" max="13561" width="11.140625" style="1194" bestFit="1" customWidth="1"/>
    <col min="13562" max="13562" width="11" style="1194" customWidth="1"/>
    <col min="13563" max="13563" width="10.42578125" style="1194" customWidth="1"/>
    <col min="13564" max="13564" width="11.28515625" style="1194" customWidth="1"/>
    <col min="13565" max="13566" width="9.140625" style="1194" bestFit="1" customWidth="1"/>
    <col min="13567" max="13568" width="11.140625" style="1194" bestFit="1" customWidth="1"/>
    <col min="13569" max="13569" width="11.5703125" style="1194" bestFit="1" customWidth="1"/>
    <col min="13570" max="13570" width="9.140625" style="1194" bestFit="1" customWidth="1"/>
    <col min="13571" max="13571" width="10.28515625" style="1194" customWidth="1"/>
    <col min="13572" max="13810" width="9.140625" style="1194"/>
    <col min="13811" max="13811" width="4.28515625" style="1194" bestFit="1" customWidth="1"/>
    <col min="13812" max="13812" width="6.85546875" style="1194" bestFit="1" customWidth="1"/>
    <col min="13813" max="13813" width="11" style="1194" customWidth="1"/>
    <col min="13814" max="13814" width="11.140625" style="1194" bestFit="1" customWidth="1"/>
    <col min="13815" max="13815" width="10.85546875" style="1194" customWidth="1"/>
    <col min="13816" max="13816" width="11.5703125" style="1194" customWidth="1"/>
    <col min="13817" max="13817" width="11.140625" style="1194" bestFit="1" customWidth="1"/>
    <col min="13818" max="13818" width="11" style="1194" customWidth="1"/>
    <col min="13819" max="13819" width="10.42578125" style="1194" customWidth="1"/>
    <col min="13820" max="13820" width="11.28515625" style="1194" customWidth="1"/>
    <col min="13821" max="13822" width="9.140625" style="1194" bestFit="1" customWidth="1"/>
    <col min="13823" max="13824" width="11.140625" style="1194" bestFit="1" customWidth="1"/>
    <col min="13825" max="13825" width="11.5703125" style="1194" bestFit="1" customWidth="1"/>
    <col min="13826" max="13826" width="9.140625" style="1194" bestFit="1" customWidth="1"/>
    <col min="13827" max="13827" width="10.28515625" style="1194" customWidth="1"/>
    <col min="13828" max="14066" width="9.140625" style="1194"/>
    <col min="14067" max="14067" width="4.28515625" style="1194" bestFit="1" customWidth="1"/>
    <col min="14068" max="14068" width="6.85546875" style="1194" bestFit="1" customWidth="1"/>
    <col min="14069" max="14069" width="11" style="1194" customWidth="1"/>
    <col min="14070" max="14070" width="11.140625" style="1194" bestFit="1" customWidth="1"/>
    <col min="14071" max="14071" width="10.85546875" style="1194" customWidth="1"/>
    <col min="14072" max="14072" width="11.5703125" style="1194" customWidth="1"/>
    <col min="14073" max="14073" width="11.140625" style="1194" bestFit="1" customWidth="1"/>
    <col min="14074" max="14074" width="11" style="1194" customWidth="1"/>
    <col min="14075" max="14075" width="10.42578125" style="1194" customWidth="1"/>
    <col min="14076" max="14076" width="11.28515625" style="1194" customWidth="1"/>
    <col min="14077" max="14078" width="9.140625" style="1194" bestFit="1" customWidth="1"/>
    <col min="14079" max="14080" width="11.140625" style="1194" bestFit="1" customWidth="1"/>
    <col min="14081" max="14081" width="11.5703125" style="1194" bestFit="1" customWidth="1"/>
    <col min="14082" max="14082" width="9.140625" style="1194" bestFit="1" customWidth="1"/>
    <col min="14083" max="14083" width="10.28515625" style="1194" customWidth="1"/>
    <col min="14084" max="14322" width="9.140625" style="1194"/>
    <col min="14323" max="14323" width="4.28515625" style="1194" bestFit="1" customWidth="1"/>
    <col min="14324" max="14324" width="6.85546875" style="1194" bestFit="1" customWidth="1"/>
    <col min="14325" max="14325" width="11" style="1194" customWidth="1"/>
    <col min="14326" max="14326" width="11.140625" style="1194" bestFit="1" customWidth="1"/>
    <col min="14327" max="14327" width="10.85546875" style="1194" customWidth="1"/>
    <col min="14328" max="14328" width="11.5703125" style="1194" customWidth="1"/>
    <col min="14329" max="14329" width="11.140625" style="1194" bestFit="1" customWidth="1"/>
    <col min="14330" max="14330" width="11" style="1194" customWidth="1"/>
    <col min="14331" max="14331" width="10.42578125" style="1194" customWidth="1"/>
    <col min="14332" max="14332" width="11.28515625" style="1194" customWidth="1"/>
    <col min="14333" max="14334" width="9.140625" style="1194" bestFit="1" customWidth="1"/>
    <col min="14335" max="14336" width="11.140625" style="1194" bestFit="1" customWidth="1"/>
    <col min="14337" max="14337" width="11.5703125" style="1194" bestFit="1" customWidth="1"/>
    <col min="14338" max="14338" width="9.140625" style="1194" bestFit="1" customWidth="1"/>
    <col min="14339" max="14339" width="10.28515625" style="1194" customWidth="1"/>
    <col min="14340" max="14578" width="9.140625" style="1194"/>
    <col min="14579" max="14579" width="4.28515625" style="1194" bestFit="1" customWidth="1"/>
    <col min="14580" max="14580" width="6.85546875" style="1194" bestFit="1" customWidth="1"/>
    <col min="14581" max="14581" width="11" style="1194" customWidth="1"/>
    <col min="14582" max="14582" width="11.140625" style="1194" bestFit="1" customWidth="1"/>
    <col min="14583" max="14583" width="10.85546875" style="1194" customWidth="1"/>
    <col min="14584" max="14584" width="11.5703125" style="1194" customWidth="1"/>
    <col min="14585" max="14585" width="11.140625" style="1194" bestFit="1" customWidth="1"/>
    <col min="14586" max="14586" width="11" style="1194" customWidth="1"/>
    <col min="14587" max="14587" width="10.42578125" style="1194" customWidth="1"/>
    <col min="14588" max="14588" width="11.28515625" style="1194" customWidth="1"/>
    <col min="14589" max="14590" width="9.140625" style="1194" bestFit="1" customWidth="1"/>
    <col min="14591" max="14592" width="11.140625" style="1194" bestFit="1" customWidth="1"/>
    <col min="14593" max="14593" width="11.5703125" style="1194" bestFit="1" customWidth="1"/>
    <col min="14594" max="14594" width="9.140625" style="1194" bestFit="1" customWidth="1"/>
    <col min="14595" max="14595" width="10.28515625" style="1194" customWidth="1"/>
    <col min="14596" max="14834" width="9.140625" style="1194"/>
    <col min="14835" max="14835" width="4.28515625" style="1194" bestFit="1" customWidth="1"/>
    <col min="14836" max="14836" width="6.85546875" style="1194" bestFit="1" customWidth="1"/>
    <col min="14837" max="14837" width="11" style="1194" customWidth="1"/>
    <col min="14838" max="14838" width="11.140625" style="1194" bestFit="1" customWidth="1"/>
    <col min="14839" max="14839" width="10.85546875" style="1194" customWidth="1"/>
    <col min="14840" max="14840" width="11.5703125" style="1194" customWidth="1"/>
    <col min="14841" max="14841" width="11.140625" style="1194" bestFit="1" customWidth="1"/>
    <col min="14842" max="14842" width="11" style="1194" customWidth="1"/>
    <col min="14843" max="14843" width="10.42578125" style="1194" customWidth="1"/>
    <col min="14844" max="14844" width="11.28515625" style="1194" customWidth="1"/>
    <col min="14845" max="14846" width="9.140625" style="1194" bestFit="1" customWidth="1"/>
    <col min="14847" max="14848" width="11.140625" style="1194" bestFit="1" customWidth="1"/>
    <col min="14849" max="14849" width="11.5703125" style="1194" bestFit="1" customWidth="1"/>
    <col min="14850" max="14850" width="9.140625" style="1194" bestFit="1" customWidth="1"/>
    <col min="14851" max="14851" width="10.28515625" style="1194" customWidth="1"/>
    <col min="14852" max="15090" width="9.140625" style="1194"/>
    <col min="15091" max="15091" width="4.28515625" style="1194" bestFit="1" customWidth="1"/>
    <col min="15092" max="15092" width="6.85546875" style="1194" bestFit="1" customWidth="1"/>
    <col min="15093" max="15093" width="11" style="1194" customWidth="1"/>
    <col min="15094" max="15094" width="11.140625" style="1194" bestFit="1" customWidth="1"/>
    <col min="15095" max="15095" width="10.85546875" style="1194" customWidth="1"/>
    <col min="15096" max="15096" width="11.5703125" style="1194" customWidth="1"/>
    <col min="15097" max="15097" width="11.140625" style="1194" bestFit="1" customWidth="1"/>
    <col min="15098" max="15098" width="11" style="1194" customWidth="1"/>
    <col min="15099" max="15099" width="10.42578125" style="1194" customWidth="1"/>
    <col min="15100" max="15100" width="11.28515625" style="1194" customWidth="1"/>
    <col min="15101" max="15102" width="9.140625" style="1194" bestFit="1" customWidth="1"/>
    <col min="15103" max="15104" width="11.140625" style="1194" bestFit="1" customWidth="1"/>
    <col min="15105" max="15105" width="11.5703125" style="1194" bestFit="1" customWidth="1"/>
    <col min="15106" max="15106" width="9.140625" style="1194" bestFit="1" customWidth="1"/>
    <col min="15107" max="15107" width="10.28515625" style="1194" customWidth="1"/>
    <col min="15108" max="15346" width="9.140625" style="1194"/>
    <col min="15347" max="15347" width="4.28515625" style="1194" bestFit="1" customWidth="1"/>
    <col min="15348" max="15348" width="6.85546875" style="1194" bestFit="1" customWidth="1"/>
    <col min="15349" max="15349" width="11" style="1194" customWidth="1"/>
    <col min="15350" max="15350" width="11.140625" style="1194" bestFit="1" customWidth="1"/>
    <col min="15351" max="15351" width="10.85546875" style="1194" customWidth="1"/>
    <col min="15352" max="15352" width="11.5703125" style="1194" customWidth="1"/>
    <col min="15353" max="15353" width="11.140625" style="1194" bestFit="1" customWidth="1"/>
    <col min="15354" max="15354" width="11" style="1194" customWidth="1"/>
    <col min="15355" max="15355" width="10.42578125" style="1194" customWidth="1"/>
    <col min="15356" max="15356" width="11.28515625" style="1194" customWidth="1"/>
    <col min="15357" max="15358" width="9.140625" style="1194" bestFit="1" customWidth="1"/>
    <col min="15359" max="15360" width="11.140625" style="1194" bestFit="1" customWidth="1"/>
    <col min="15361" max="15361" width="11.5703125" style="1194" bestFit="1" customWidth="1"/>
    <col min="15362" max="15362" width="9.140625" style="1194" bestFit="1" customWidth="1"/>
    <col min="15363" max="15363" width="10.28515625" style="1194" customWidth="1"/>
    <col min="15364" max="15602" width="9.140625" style="1194"/>
    <col min="15603" max="15603" width="4.28515625" style="1194" bestFit="1" customWidth="1"/>
    <col min="15604" max="15604" width="6.85546875" style="1194" bestFit="1" customWidth="1"/>
    <col min="15605" max="15605" width="11" style="1194" customWidth="1"/>
    <col min="15606" max="15606" width="11.140625" style="1194" bestFit="1" customWidth="1"/>
    <col min="15607" max="15607" width="10.85546875" style="1194" customWidth="1"/>
    <col min="15608" max="15608" width="11.5703125" style="1194" customWidth="1"/>
    <col min="15609" max="15609" width="11.140625" style="1194" bestFit="1" customWidth="1"/>
    <col min="15610" max="15610" width="11" style="1194" customWidth="1"/>
    <col min="15611" max="15611" width="10.42578125" style="1194" customWidth="1"/>
    <col min="15612" max="15612" width="11.28515625" style="1194" customWidth="1"/>
    <col min="15613" max="15614" width="9.140625" style="1194" bestFit="1" customWidth="1"/>
    <col min="15615" max="15616" width="11.140625" style="1194" bestFit="1" customWidth="1"/>
    <col min="15617" max="15617" width="11.5703125" style="1194" bestFit="1" customWidth="1"/>
    <col min="15618" max="15618" width="9.140625" style="1194" bestFit="1" customWidth="1"/>
    <col min="15619" max="15619" width="10.28515625" style="1194" customWidth="1"/>
    <col min="15620" max="15858" width="9.140625" style="1194"/>
    <col min="15859" max="15859" width="4.28515625" style="1194" bestFit="1" customWidth="1"/>
    <col min="15860" max="15860" width="6.85546875" style="1194" bestFit="1" customWidth="1"/>
    <col min="15861" max="15861" width="11" style="1194" customWidth="1"/>
    <col min="15862" max="15862" width="11.140625" style="1194" bestFit="1" customWidth="1"/>
    <col min="15863" max="15863" width="10.85546875" style="1194" customWidth="1"/>
    <col min="15864" max="15864" width="11.5703125" style="1194" customWidth="1"/>
    <col min="15865" max="15865" width="11.140625" style="1194" bestFit="1" customWidth="1"/>
    <col min="15866" max="15866" width="11" style="1194" customWidth="1"/>
    <col min="15867" max="15867" width="10.42578125" style="1194" customWidth="1"/>
    <col min="15868" max="15868" width="11.28515625" style="1194" customWidth="1"/>
    <col min="15869" max="15870" width="9.140625" style="1194" bestFit="1" customWidth="1"/>
    <col min="15871" max="15872" width="11.140625" style="1194" bestFit="1" customWidth="1"/>
    <col min="15873" max="15873" width="11.5703125" style="1194" bestFit="1" customWidth="1"/>
    <col min="15874" max="15874" width="9.140625" style="1194" bestFit="1" customWidth="1"/>
    <col min="15875" max="15875" width="10.28515625" style="1194" customWidth="1"/>
    <col min="15876" max="16114" width="9.140625" style="1194"/>
    <col min="16115" max="16115" width="4.28515625" style="1194" bestFit="1" customWidth="1"/>
    <col min="16116" max="16116" width="6.85546875" style="1194" bestFit="1" customWidth="1"/>
    <col min="16117" max="16117" width="11" style="1194" customWidth="1"/>
    <col min="16118" max="16118" width="11.140625" style="1194" bestFit="1" customWidth="1"/>
    <col min="16119" max="16119" width="10.85546875" style="1194" customWidth="1"/>
    <col min="16120" max="16120" width="11.5703125" style="1194" customWidth="1"/>
    <col min="16121" max="16121" width="11.140625" style="1194" bestFit="1" customWidth="1"/>
    <col min="16122" max="16122" width="11" style="1194" customWidth="1"/>
    <col min="16123" max="16123" width="10.42578125" style="1194" customWidth="1"/>
    <col min="16124" max="16124" width="11.28515625" style="1194" customWidth="1"/>
    <col min="16125" max="16126" width="9.140625" style="1194" bestFit="1" customWidth="1"/>
    <col min="16127" max="16128" width="11.140625" style="1194" bestFit="1" customWidth="1"/>
    <col min="16129" max="16129" width="11.5703125" style="1194" bestFit="1" customWidth="1"/>
    <col min="16130" max="16130" width="9.140625" style="1194" bestFit="1" customWidth="1"/>
    <col min="16131" max="16131" width="10.28515625" style="1194" customWidth="1"/>
    <col min="16132" max="16384" width="9.140625" style="1194"/>
  </cols>
  <sheetData>
    <row r="1" spans="1:12" s="1194" customFormat="1" ht="39.950000000000003" customHeight="1">
      <c r="A1" s="1325"/>
      <c r="B1" s="1325"/>
      <c r="C1" s="1325"/>
      <c r="D1" s="1325"/>
      <c r="E1" s="1325"/>
      <c r="F1" s="1325"/>
      <c r="G1" s="1325"/>
      <c r="H1" s="4681" t="s">
        <v>1451</v>
      </c>
      <c r="I1" s="4681"/>
      <c r="J1" s="4681"/>
      <c r="K1" s="1223"/>
      <c r="L1" s="1214"/>
    </row>
    <row r="2" spans="1:12" s="1194" customFormat="1" ht="65.099999999999994" customHeight="1">
      <c r="A2" s="4682" t="s">
        <v>654</v>
      </c>
      <c r="B2" s="4682"/>
      <c r="C2" s="4682"/>
      <c r="D2" s="4682"/>
      <c r="E2" s="4682"/>
      <c r="F2" s="4682"/>
      <c r="G2" s="4682"/>
      <c r="H2" s="4682"/>
      <c r="I2" s="4682"/>
      <c r="J2" s="4682"/>
      <c r="K2" s="1223"/>
      <c r="L2" s="1214"/>
    </row>
    <row r="3" spans="1:12" s="1194" customFormat="1" ht="15.75">
      <c r="A3" s="1324"/>
      <c r="B3" s="1324"/>
      <c r="C3" s="1324"/>
      <c r="D3" s="1324"/>
      <c r="E3" s="1324"/>
      <c r="F3" s="1324"/>
      <c r="G3" s="1324"/>
      <c r="H3" s="1324"/>
      <c r="I3" s="1324"/>
      <c r="J3" s="1324"/>
      <c r="K3" s="1223"/>
      <c r="L3" s="1214"/>
    </row>
    <row r="4" spans="1:12" s="1194" customFormat="1" ht="12" customHeight="1" thickBot="1">
      <c r="A4" s="4683" t="s">
        <v>1</v>
      </c>
      <c r="B4" s="4683"/>
      <c r="C4" s="4683"/>
      <c r="D4" s="4683"/>
      <c r="E4" s="4683"/>
      <c r="F4" s="4683"/>
      <c r="G4" s="4683"/>
      <c r="H4" s="4683"/>
      <c r="I4" s="4683"/>
      <c r="J4" s="4683"/>
      <c r="K4" s="1223"/>
      <c r="L4" s="1214"/>
    </row>
    <row r="5" spans="1:12" s="1194" customFormat="1" ht="17.25" customHeight="1">
      <c r="A5" s="4684" t="s">
        <v>653</v>
      </c>
      <c r="B5" s="4686" t="s">
        <v>652</v>
      </c>
      <c r="C5" s="4697" t="s">
        <v>2</v>
      </c>
      <c r="D5" s="4698" t="s">
        <v>651</v>
      </c>
      <c r="E5" s="4700" t="s">
        <v>5</v>
      </c>
      <c r="F5" s="4701" t="s">
        <v>650</v>
      </c>
      <c r="G5" s="4703" t="s">
        <v>412</v>
      </c>
      <c r="H5" s="4703"/>
      <c r="I5" s="4703"/>
      <c r="J5" s="4704"/>
      <c r="K5" s="1223"/>
      <c r="L5" s="1214"/>
    </row>
    <row r="6" spans="1:12" s="1194" customFormat="1" ht="22.5">
      <c r="A6" s="4685"/>
      <c r="B6" s="4687"/>
      <c r="C6" s="4687"/>
      <c r="D6" s="4699"/>
      <c r="E6" s="4699"/>
      <c r="F6" s="4702"/>
      <c r="G6" s="1323" t="s">
        <v>649</v>
      </c>
      <c r="H6" s="1323" t="s">
        <v>648</v>
      </c>
      <c r="I6" s="1323" t="s">
        <v>647</v>
      </c>
      <c r="J6" s="1322" t="s">
        <v>646</v>
      </c>
      <c r="K6" s="1223"/>
      <c r="L6" s="1214"/>
    </row>
    <row r="7" spans="1:12" s="1194" customFormat="1" ht="9.9499999999999993" customHeight="1">
      <c r="A7" s="1321" t="s">
        <v>13</v>
      </c>
      <c r="B7" s="1320" t="s">
        <v>14</v>
      </c>
      <c r="C7" s="1320" t="s">
        <v>15</v>
      </c>
      <c r="D7" s="1320" t="s">
        <v>16</v>
      </c>
      <c r="E7" s="1320" t="s">
        <v>17</v>
      </c>
      <c r="F7" s="1319" t="s">
        <v>645</v>
      </c>
      <c r="G7" s="1319" t="s">
        <v>18</v>
      </c>
      <c r="H7" s="1319" t="s">
        <v>19</v>
      </c>
      <c r="I7" s="1319" t="s">
        <v>20</v>
      </c>
      <c r="J7" s="1318" t="s">
        <v>644</v>
      </c>
      <c r="K7" s="1223"/>
      <c r="L7" s="1214"/>
    </row>
    <row r="8" spans="1:12" s="1194" customFormat="1" ht="30" customHeight="1">
      <c r="A8" s="1259" t="s">
        <v>643</v>
      </c>
      <c r="B8" s="4688" t="s">
        <v>642</v>
      </c>
      <c r="C8" s="4688"/>
      <c r="D8" s="4688"/>
      <c r="E8" s="4688"/>
      <c r="F8" s="1317">
        <f>F10+F26+F35+F52+F66+F84+F123+F136+F150+F167+F186+F200+F214+F246+F327+F338+F381+F415+F446+F471+F514+F540+F574+F598</f>
        <v>559893940</v>
      </c>
      <c r="G8" s="1317">
        <f>G10+G26+G35+G52+G66+G84+G123+G136+G150+G167+G186+G200+G214+G246+G327+G338+G381+G415+G446+G471+G514+G540+G574+G598</f>
        <v>190157935</v>
      </c>
      <c r="H8" s="1317">
        <f>H10+H26+H35+H52+H66+H84+H123+H136+H150+H167+H186+H200+H214+H246+H327+H338+H381+H415+H446+H471+H514+H540+H574+H598</f>
        <v>283771306</v>
      </c>
      <c r="I8" s="1317">
        <f>I10+I26+I35+I52+I66+I84+I123+I136+I150+I167+I186+I200+I214+I246+I327+I338+I381+I415+I446+I471+I514+I540+I574+I598</f>
        <v>85170449</v>
      </c>
      <c r="J8" s="1316">
        <f>J10+J26+J35+J52+J66+J84+J123+J136+J150+J167+J186+J200+J214+J246+J327+J338+J381+J415+J446+J471+J514+J540+J574+J598</f>
        <v>794250</v>
      </c>
      <c r="K8" s="1223"/>
      <c r="L8" s="1214"/>
    </row>
    <row r="9" spans="1:12" s="1195" customFormat="1">
      <c r="A9" s="4689"/>
      <c r="B9" s="4690"/>
      <c r="C9" s="4690"/>
      <c r="D9" s="4690"/>
      <c r="E9" s="4690"/>
      <c r="F9" s="4690"/>
      <c r="G9" s="4690"/>
      <c r="H9" s="4690"/>
      <c r="I9" s="4690"/>
      <c r="J9" s="4691"/>
      <c r="K9" s="1197"/>
      <c r="L9" s="1196"/>
    </row>
    <row r="10" spans="1:12" s="1240" customFormat="1" ht="22.5">
      <c r="A10" s="4692" t="s">
        <v>473</v>
      </c>
      <c r="B10" s="4693" t="s">
        <v>641</v>
      </c>
      <c r="C10" s="4694"/>
      <c r="D10" s="4694"/>
      <c r="E10" s="1253" t="s">
        <v>435</v>
      </c>
      <c r="F10" s="1252">
        <f>SUM(F11,F15)</f>
        <v>1135726</v>
      </c>
      <c r="G10" s="1252">
        <f>SUM(G11,G15)</f>
        <v>0</v>
      </c>
      <c r="H10" s="1252">
        <f>SUM(H11,H15)</f>
        <v>0</v>
      </c>
      <c r="I10" s="1252">
        <f>SUM(I11,I15)</f>
        <v>1135726</v>
      </c>
      <c r="J10" s="1251">
        <f>SUM(J11,J15)</f>
        <v>0</v>
      </c>
      <c r="K10" s="1255"/>
      <c r="L10" s="1254"/>
    </row>
    <row r="11" spans="1:12" s="1240" customFormat="1" ht="15" customHeight="1">
      <c r="A11" s="4692"/>
      <c r="B11" s="4693"/>
      <c r="C11" s="4694"/>
      <c r="D11" s="4694"/>
      <c r="E11" s="1250" t="s">
        <v>541</v>
      </c>
      <c r="F11" s="1238">
        <f>SUM(F12:F14)</f>
        <v>0</v>
      </c>
      <c r="G11" s="1238">
        <f>SUM(G12:G14)</f>
        <v>0</v>
      </c>
      <c r="H11" s="1238">
        <f>SUM(H12:H14)</f>
        <v>0</v>
      </c>
      <c r="I11" s="1238">
        <f>SUM(I12:I14)</f>
        <v>0</v>
      </c>
      <c r="J11" s="1237">
        <f>SUM(J12:J14)</f>
        <v>0</v>
      </c>
      <c r="K11" s="1255"/>
      <c r="L11" s="1254"/>
    </row>
    <row r="12" spans="1:12" s="1240" customFormat="1" ht="15" hidden="1" customHeight="1">
      <c r="A12" s="4692"/>
      <c r="B12" s="4693"/>
      <c r="C12" s="4694"/>
      <c r="D12" s="4694"/>
      <c r="E12" s="1249"/>
      <c r="F12" s="1244">
        <f>SUM(G12:J12)</f>
        <v>0</v>
      </c>
      <c r="G12" s="1244"/>
      <c r="H12" s="1244"/>
      <c r="I12" s="1244"/>
      <c r="J12" s="1243"/>
      <c r="K12" s="1255"/>
      <c r="L12" s="1254"/>
    </row>
    <row r="13" spans="1:12" s="1240" customFormat="1" ht="15" hidden="1" customHeight="1">
      <c r="A13" s="4692"/>
      <c r="B13" s="4693"/>
      <c r="C13" s="4694"/>
      <c r="D13" s="4694"/>
      <c r="E13" s="1249"/>
      <c r="F13" s="1244">
        <f>SUM(G13:J13)</f>
        <v>0</v>
      </c>
      <c r="G13" s="1244"/>
      <c r="H13" s="1244"/>
      <c r="I13" s="1244"/>
      <c r="J13" s="1243"/>
      <c r="K13" s="1255"/>
      <c r="L13" s="1254"/>
    </row>
    <row r="14" spans="1:12" s="1240" customFormat="1" ht="15" hidden="1" customHeight="1">
      <c r="A14" s="4692"/>
      <c r="B14" s="4693"/>
      <c r="C14" s="4694"/>
      <c r="D14" s="4694"/>
      <c r="E14" s="1249"/>
      <c r="F14" s="1244">
        <f>SUM(G14:J14)</f>
        <v>0</v>
      </c>
      <c r="G14" s="1244"/>
      <c r="H14" s="1244"/>
      <c r="I14" s="1244"/>
      <c r="J14" s="1243"/>
      <c r="K14" s="1255"/>
      <c r="L14" s="1254"/>
    </row>
    <row r="15" spans="1:12" s="1240" customFormat="1" ht="15" customHeight="1">
      <c r="A15" s="4692"/>
      <c r="B15" s="4693"/>
      <c r="C15" s="4694"/>
      <c r="D15" s="4694"/>
      <c r="E15" s="1239" t="s">
        <v>423</v>
      </c>
      <c r="F15" s="1238">
        <f>SUM(F16:F25)</f>
        <v>1135726</v>
      </c>
      <c r="G15" s="1238">
        <f>SUM(G16:G25)</f>
        <v>0</v>
      </c>
      <c r="H15" s="1238">
        <f>SUM(H16:H25)</f>
        <v>0</v>
      </c>
      <c r="I15" s="1238">
        <f>SUM(I16:I25)</f>
        <v>1135726</v>
      </c>
      <c r="J15" s="1237">
        <f>SUM(J16:J25)</f>
        <v>0</v>
      </c>
      <c r="K15" s="1255"/>
      <c r="L15" s="1254"/>
    </row>
    <row r="16" spans="1:12" s="1240" customFormat="1" ht="15" hidden="1" customHeight="1">
      <c r="A16" s="4692"/>
      <c r="B16" s="4693"/>
      <c r="C16" s="1315">
        <v>630</v>
      </c>
      <c r="D16" s="1281">
        <v>63095</v>
      </c>
      <c r="E16" s="1249" t="s">
        <v>186</v>
      </c>
      <c r="F16" s="1244">
        <f t="shared" ref="F16:F25" si="0">SUM(G16:J16)</f>
        <v>0</v>
      </c>
      <c r="G16" s="1244"/>
      <c r="H16" s="1244"/>
      <c r="I16" s="1244"/>
      <c r="J16" s="1243"/>
      <c r="K16" s="1255"/>
      <c r="L16" s="1254"/>
    </row>
    <row r="17" spans="1:12" s="1240" customFormat="1" ht="15" customHeight="1">
      <c r="A17" s="4692"/>
      <c r="B17" s="4693"/>
      <c r="C17" s="4695">
        <v>700</v>
      </c>
      <c r="D17" s="1281" t="s">
        <v>640</v>
      </c>
      <c r="E17" s="1249" t="s">
        <v>186</v>
      </c>
      <c r="F17" s="1244">
        <f t="shared" si="0"/>
        <v>74363</v>
      </c>
      <c r="G17" s="1244"/>
      <c r="H17" s="1244"/>
      <c r="I17" s="1244">
        <v>74363</v>
      </c>
      <c r="J17" s="1243"/>
      <c r="K17" s="1255"/>
      <c r="L17" s="1254"/>
    </row>
    <row r="18" spans="1:12" s="1240" customFormat="1" ht="15" hidden="1" customHeight="1">
      <c r="A18" s="4692"/>
      <c r="B18" s="4693"/>
      <c r="C18" s="4696"/>
      <c r="D18" s="1281" t="s">
        <v>639</v>
      </c>
      <c r="E18" s="1249" t="s">
        <v>186</v>
      </c>
      <c r="F18" s="1244">
        <f t="shared" si="0"/>
        <v>0</v>
      </c>
      <c r="G18" s="1244"/>
      <c r="H18" s="1244"/>
      <c r="I18" s="1244"/>
      <c r="J18" s="1243"/>
      <c r="K18" s="1255"/>
      <c r="L18" s="1254"/>
    </row>
    <row r="19" spans="1:12" s="1240" customFormat="1" ht="15" hidden="1" customHeight="1">
      <c r="A19" s="4692"/>
      <c r="B19" s="4693"/>
      <c r="C19" s="1315">
        <v>750</v>
      </c>
      <c r="D19" s="1281">
        <v>75095</v>
      </c>
      <c r="E19" s="1249" t="s">
        <v>186</v>
      </c>
      <c r="F19" s="1244">
        <f t="shared" si="0"/>
        <v>0</v>
      </c>
      <c r="G19" s="1244"/>
      <c r="H19" s="1244"/>
      <c r="I19" s="1244"/>
      <c r="J19" s="1243"/>
      <c r="K19" s="1255"/>
      <c r="L19" s="1254"/>
    </row>
    <row r="20" spans="1:12" s="1240" customFormat="1" ht="15" hidden="1" customHeight="1">
      <c r="A20" s="4692"/>
      <c r="B20" s="4693"/>
      <c r="C20" s="1315">
        <v>801</v>
      </c>
      <c r="D20" s="1281">
        <v>80104</v>
      </c>
      <c r="E20" s="1249" t="s">
        <v>186</v>
      </c>
      <c r="F20" s="1244">
        <f t="shared" si="0"/>
        <v>0</v>
      </c>
      <c r="G20" s="1244"/>
      <c r="H20" s="1244"/>
      <c r="I20" s="1244"/>
      <c r="J20" s="1243"/>
      <c r="K20" s="1255"/>
      <c r="L20" s="1254"/>
    </row>
    <row r="21" spans="1:12" s="1240" customFormat="1" ht="15" hidden="1" customHeight="1">
      <c r="A21" s="4692"/>
      <c r="B21" s="4693"/>
      <c r="C21" s="1281">
        <v>900</v>
      </c>
      <c r="D21" s="1281">
        <v>90095</v>
      </c>
      <c r="E21" s="1249" t="s">
        <v>540</v>
      </c>
      <c r="F21" s="1244">
        <f t="shared" si="0"/>
        <v>0</v>
      </c>
      <c r="G21" s="1244"/>
      <c r="H21" s="1244"/>
      <c r="I21" s="1244"/>
      <c r="J21" s="1243"/>
      <c r="K21" s="1255"/>
      <c r="L21" s="1254"/>
    </row>
    <row r="22" spans="1:12" s="1240" customFormat="1" ht="15" customHeight="1">
      <c r="A22" s="4692"/>
      <c r="B22" s="4693"/>
      <c r="C22" s="4694">
        <v>921</v>
      </c>
      <c r="D22" s="1314">
        <v>92109</v>
      </c>
      <c r="E22" s="1249" t="s">
        <v>186</v>
      </c>
      <c r="F22" s="1244">
        <f t="shared" si="0"/>
        <v>177600</v>
      </c>
      <c r="G22" s="1244"/>
      <c r="H22" s="1244"/>
      <c r="I22" s="1244">
        <v>177600</v>
      </c>
      <c r="J22" s="1243"/>
      <c r="K22" s="1255"/>
      <c r="L22" s="1254"/>
    </row>
    <row r="23" spans="1:12" s="1240" customFormat="1" ht="15" hidden="1" customHeight="1">
      <c r="A23" s="4692"/>
      <c r="B23" s="4693"/>
      <c r="C23" s="4694"/>
      <c r="D23" s="1314">
        <v>92118</v>
      </c>
      <c r="E23" s="1249" t="s">
        <v>540</v>
      </c>
      <c r="F23" s="1244">
        <f t="shared" si="0"/>
        <v>0</v>
      </c>
      <c r="G23" s="1244"/>
      <c r="H23" s="1244"/>
      <c r="I23" s="1244"/>
      <c r="J23" s="1243"/>
      <c r="K23" s="1255"/>
      <c r="L23" s="1254"/>
    </row>
    <row r="24" spans="1:12" s="1240" customFormat="1" ht="15" hidden="1" customHeight="1">
      <c r="A24" s="4692"/>
      <c r="B24" s="4693"/>
      <c r="C24" s="4694"/>
      <c r="D24" s="1281">
        <v>92120</v>
      </c>
      <c r="E24" s="1249" t="s">
        <v>186</v>
      </c>
      <c r="F24" s="1244">
        <f t="shared" si="0"/>
        <v>0</v>
      </c>
      <c r="G24" s="1244"/>
      <c r="H24" s="1244"/>
      <c r="I24" s="1244"/>
      <c r="J24" s="1243"/>
      <c r="K24" s="1255"/>
      <c r="L24" s="1254"/>
    </row>
    <row r="25" spans="1:12" s="1240" customFormat="1" ht="15" customHeight="1">
      <c r="A25" s="4692"/>
      <c r="B25" s="4693"/>
      <c r="C25" s="4694"/>
      <c r="D25" s="1281">
        <v>92195</v>
      </c>
      <c r="E25" s="1249" t="s">
        <v>186</v>
      </c>
      <c r="F25" s="1244">
        <f t="shared" si="0"/>
        <v>883763</v>
      </c>
      <c r="G25" s="1244"/>
      <c r="H25" s="1244"/>
      <c r="I25" s="1244">
        <v>883763</v>
      </c>
      <c r="J25" s="1243"/>
      <c r="K25" s="1255"/>
      <c r="L25" s="1254"/>
    </row>
    <row r="26" spans="1:12" s="1240" customFormat="1" ht="22.5">
      <c r="A26" s="4706" t="s">
        <v>465</v>
      </c>
      <c r="B26" s="4709" t="s">
        <v>638</v>
      </c>
      <c r="C26" s="4712"/>
      <c r="D26" s="4713"/>
      <c r="E26" s="1253" t="s">
        <v>435</v>
      </c>
      <c r="F26" s="1252">
        <f>SUM(F27,F31)</f>
        <v>11191126</v>
      </c>
      <c r="G26" s="1252">
        <f>SUM(G27,G31)</f>
        <v>0</v>
      </c>
      <c r="H26" s="1252">
        <f>SUM(H27,H31)</f>
        <v>0</v>
      </c>
      <c r="I26" s="1252">
        <f>SUM(I27,I31)</f>
        <v>11191126</v>
      </c>
      <c r="J26" s="1251">
        <f>SUM(J27,J31)</f>
        <v>0</v>
      </c>
      <c r="K26" s="1255"/>
      <c r="L26" s="1254"/>
    </row>
    <row r="27" spans="1:12" s="1240" customFormat="1" ht="20.100000000000001" customHeight="1">
      <c r="A27" s="4707"/>
      <c r="B27" s="4710"/>
      <c r="C27" s="4714"/>
      <c r="D27" s="4715"/>
      <c r="E27" s="1250" t="s">
        <v>541</v>
      </c>
      <c r="F27" s="1238">
        <f>SUM(F28:F30)</f>
        <v>0</v>
      </c>
      <c r="G27" s="1238">
        <f>SUM(G28:G30)</f>
        <v>0</v>
      </c>
      <c r="H27" s="1238">
        <f>SUM(H28:H30)</f>
        <v>0</v>
      </c>
      <c r="I27" s="1238">
        <f>SUM(I28:I30)</f>
        <v>0</v>
      </c>
      <c r="J27" s="1237">
        <f>SUM(J28:J30)</f>
        <v>0</v>
      </c>
      <c r="K27" s="1255"/>
      <c r="L27" s="1254"/>
    </row>
    <row r="28" spans="1:12" s="1240" customFormat="1" ht="15" hidden="1" customHeight="1">
      <c r="A28" s="4707"/>
      <c r="B28" s="4710"/>
      <c r="C28" s="4714"/>
      <c r="D28" s="4715"/>
      <c r="E28" s="1249"/>
      <c r="F28" s="1244">
        <f>SUM(G28:J28)</f>
        <v>0</v>
      </c>
      <c r="G28" s="1244"/>
      <c r="H28" s="1244"/>
      <c r="I28" s="1244"/>
      <c r="J28" s="1243"/>
      <c r="K28" s="1255"/>
      <c r="L28" s="1254"/>
    </row>
    <row r="29" spans="1:12" s="1240" customFormat="1" ht="15" hidden="1" customHeight="1">
      <c r="A29" s="4707"/>
      <c r="B29" s="4710"/>
      <c r="C29" s="4714"/>
      <c r="D29" s="4715"/>
      <c r="E29" s="1249"/>
      <c r="F29" s="1244">
        <f>SUM(G29:J29)</f>
        <v>0</v>
      </c>
      <c r="G29" s="1244"/>
      <c r="H29" s="1244"/>
      <c r="I29" s="1244"/>
      <c r="J29" s="1243"/>
      <c r="K29" s="1255"/>
      <c r="L29" s="1254"/>
    </row>
    <row r="30" spans="1:12" s="1240" customFormat="1" ht="15" hidden="1" customHeight="1">
      <c r="A30" s="4707"/>
      <c r="B30" s="4710"/>
      <c r="C30" s="4714"/>
      <c r="D30" s="4715"/>
      <c r="E30" s="1249"/>
      <c r="F30" s="1244">
        <f>SUM(G30:J30)</f>
        <v>0</v>
      </c>
      <c r="G30" s="1244"/>
      <c r="H30" s="1244"/>
      <c r="I30" s="1244"/>
      <c r="J30" s="1243"/>
      <c r="K30" s="1255"/>
      <c r="L30" s="1254"/>
    </row>
    <row r="31" spans="1:12" s="1240" customFormat="1" ht="20.100000000000001" customHeight="1">
      <c r="A31" s="4707"/>
      <c r="B31" s="4710"/>
      <c r="C31" s="4716"/>
      <c r="D31" s="4717"/>
      <c r="E31" s="1239" t="s">
        <v>423</v>
      </c>
      <c r="F31" s="1238">
        <f>SUM(F32:F34)</f>
        <v>11191126</v>
      </c>
      <c r="G31" s="1238">
        <f>SUM(G32:G34)</f>
        <v>0</v>
      </c>
      <c r="H31" s="1238">
        <f>SUM(H32:H34)</f>
        <v>0</v>
      </c>
      <c r="I31" s="1238">
        <f>SUM(I32:I34)</f>
        <v>11191126</v>
      </c>
      <c r="J31" s="1237">
        <f>SUM(J32:J34)</f>
        <v>0</v>
      </c>
      <c r="K31" s="1255"/>
      <c r="L31" s="1254"/>
    </row>
    <row r="32" spans="1:12" s="1240" customFormat="1" ht="15" hidden="1" customHeight="1">
      <c r="A32" s="4707"/>
      <c r="B32" s="4710"/>
      <c r="C32" s="1281">
        <v>150</v>
      </c>
      <c r="D32" s="1249" t="s">
        <v>68</v>
      </c>
      <c r="E32" s="1249" t="s">
        <v>302</v>
      </c>
      <c r="F32" s="1244">
        <f>SUM(G32:J32)</f>
        <v>0</v>
      </c>
      <c r="G32" s="1244"/>
      <c r="H32" s="1244"/>
      <c r="I32" s="1244"/>
      <c r="J32" s="1243"/>
      <c r="K32" s="1255"/>
      <c r="L32" s="1254"/>
    </row>
    <row r="33" spans="1:19" s="1240" customFormat="1" ht="15" hidden="1" customHeight="1">
      <c r="A33" s="4707"/>
      <c r="B33" s="4710"/>
      <c r="C33" s="4695">
        <v>851</v>
      </c>
      <c r="D33" s="4718" t="s">
        <v>637</v>
      </c>
      <c r="E33" s="1249" t="s">
        <v>303</v>
      </c>
      <c r="F33" s="1244">
        <f>SUM(G33:J33)</f>
        <v>0</v>
      </c>
      <c r="G33" s="1244"/>
      <c r="H33" s="1244"/>
      <c r="I33" s="1244"/>
      <c r="J33" s="1243"/>
      <c r="K33" s="1255"/>
      <c r="L33" s="1254"/>
    </row>
    <row r="34" spans="1:19" s="1240" customFormat="1" ht="30" customHeight="1">
      <c r="A34" s="4708"/>
      <c r="B34" s="4711"/>
      <c r="C34" s="4696"/>
      <c r="D34" s="4719"/>
      <c r="E34" s="1249" t="s">
        <v>540</v>
      </c>
      <c r="F34" s="1244">
        <f>SUM(G34:J34)</f>
        <v>11191126</v>
      </c>
      <c r="G34" s="1244"/>
      <c r="H34" s="1244"/>
      <c r="I34" s="1244">
        <v>11191126</v>
      </c>
      <c r="J34" s="1243"/>
      <c r="K34" s="1255"/>
      <c r="L34" s="1254"/>
    </row>
    <row r="35" spans="1:19" s="1256" customFormat="1" ht="22.5">
      <c r="A35" s="4706" t="s">
        <v>442</v>
      </c>
      <c r="B35" s="4723" t="s">
        <v>636</v>
      </c>
      <c r="C35" s="4695">
        <v>750</v>
      </c>
      <c r="D35" s="4718" t="s">
        <v>571</v>
      </c>
      <c r="E35" s="1253" t="s">
        <v>435</v>
      </c>
      <c r="F35" s="1252">
        <f>SUM(F36,F49)</f>
        <v>4152941</v>
      </c>
      <c r="G35" s="1252">
        <f>SUM(G36,G49)</f>
        <v>622941</v>
      </c>
      <c r="H35" s="1252">
        <f>SUM(H36,H49)</f>
        <v>0</v>
      </c>
      <c r="I35" s="1252">
        <f>SUM(I36,I49)</f>
        <v>3530000</v>
      </c>
      <c r="J35" s="1251">
        <f>SUM(J36,J49)</f>
        <v>0</v>
      </c>
      <c r="K35" s="1306"/>
      <c r="L35" s="1305"/>
      <c r="M35" s="1305"/>
      <c r="N35" s="1305"/>
      <c r="O35" s="1305"/>
      <c r="P35" s="1241"/>
      <c r="Q35" s="1241"/>
      <c r="R35" s="1241"/>
      <c r="S35" s="1241"/>
    </row>
    <row r="36" spans="1:19" s="1256" customFormat="1" ht="21">
      <c r="A36" s="4707"/>
      <c r="B36" s="4724"/>
      <c r="C36" s="4722"/>
      <c r="D36" s="4720"/>
      <c r="E36" s="1250" t="s">
        <v>434</v>
      </c>
      <c r="F36" s="1238">
        <f>SUM(F37,F40)</f>
        <v>4152941</v>
      </c>
      <c r="G36" s="1238">
        <f>SUM(G37,G40)</f>
        <v>622941</v>
      </c>
      <c r="H36" s="1238">
        <f>SUM(H37,H40)</f>
        <v>0</v>
      </c>
      <c r="I36" s="1238">
        <f>SUM(I37,I40)</f>
        <v>3530000</v>
      </c>
      <c r="J36" s="1237">
        <f>SUM(J37,J40)</f>
        <v>0</v>
      </c>
      <c r="K36" s="1276"/>
      <c r="L36" s="1241"/>
      <c r="M36" s="1241"/>
      <c r="N36" s="1241"/>
      <c r="O36" s="1241"/>
    </row>
    <row r="37" spans="1:19" s="1256" customFormat="1" ht="22.5">
      <c r="A37" s="4707"/>
      <c r="B37" s="4724"/>
      <c r="C37" s="4722"/>
      <c r="D37" s="4720"/>
      <c r="E37" s="1248" t="s">
        <v>432</v>
      </c>
      <c r="F37" s="1247">
        <f>SUM(F38:F39)</f>
        <v>40000</v>
      </c>
      <c r="G37" s="1247">
        <f>SUM(G38:G39)</f>
        <v>6000</v>
      </c>
      <c r="H37" s="1247">
        <f>SUM(H38:H39)</f>
        <v>0</v>
      </c>
      <c r="I37" s="1247">
        <f>SUM(I38:I39)</f>
        <v>34000</v>
      </c>
      <c r="J37" s="1246">
        <f>SUM(J38:J39)</f>
        <v>0</v>
      </c>
      <c r="K37" s="1276"/>
      <c r="L37" s="1241"/>
      <c r="M37" s="1241"/>
      <c r="N37" s="1241"/>
      <c r="O37" s="1241"/>
    </row>
    <row r="38" spans="1:19" s="1256" customFormat="1" ht="15" customHeight="1">
      <c r="A38" s="4707"/>
      <c r="B38" s="4724"/>
      <c r="C38" s="4722"/>
      <c r="D38" s="4720"/>
      <c r="E38" s="1249" t="s">
        <v>535</v>
      </c>
      <c r="F38" s="1244">
        <f>SUM(G38:J38)</f>
        <v>34000</v>
      </c>
      <c r="G38" s="1244"/>
      <c r="H38" s="1244"/>
      <c r="I38" s="1244">
        <v>34000</v>
      </c>
      <c r="J38" s="1243"/>
      <c r="K38" s="1242"/>
      <c r="L38" s="1241"/>
    </row>
    <row r="39" spans="1:19" s="1256" customFormat="1" ht="15" customHeight="1">
      <c r="A39" s="4707"/>
      <c r="B39" s="4724"/>
      <c r="C39" s="4722"/>
      <c r="D39" s="4720"/>
      <c r="E39" s="1249" t="s">
        <v>455</v>
      </c>
      <c r="F39" s="1244">
        <f>SUM(G39:J39)</f>
        <v>6000</v>
      </c>
      <c r="G39" s="1244">
        <v>6000</v>
      </c>
      <c r="H39" s="1244"/>
      <c r="I39" s="1244"/>
      <c r="J39" s="1243"/>
      <c r="K39" s="1242"/>
      <c r="L39" s="1241"/>
    </row>
    <row r="40" spans="1:19" s="1256" customFormat="1" ht="22.5">
      <c r="A40" s="4707"/>
      <c r="B40" s="4724"/>
      <c r="C40" s="4722"/>
      <c r="D40" s="4720"/>
      <c r="E40" s="1248" t="s">
        <v>427</v>
      </c>
      <c r="F40" s="1247">
        <f>SUM(F41:F48)</f>
        <v>4112941</v>
      </c>
      <c r="G40" s="1247">
        <f>SUM(G41:G48)</f>
        <v>616941</v>
      </c>
      <c r="H40" s="1247">
        <f>SUM(H41:H48)</f>
        <v>0</v>
      </c>
      <c r="I40" s="1247">
        <f>SUM(I41:I48)</f>
        <v>3496000</v>
      </c>
      <c r="J40" s="1246">
        <f>SUM(J41:J48)</f>
        <v>0</v>
      </c>
      <c r="K40" s="1242"/>
      <c r="L40" s="1241"/>
    </row>
    <row r="41" spans="1:19" s="1256" customFormat="1" ht="15" customHeight="1">
      <c r="A41" s="4707"/>
      <c r="B41" s="4724"/>
      <c r="C41" s="4722"/>
      <c r="D41" s="4720"/>
      <c r="E41" s="1249" t="s">
        <v>533</v>
      </c>
      <c r="F41" s="1244">
        <f t="shared" ref="F41:F48" si="1">SUM(G41:J41)</f>
        <v>170000</v>
      </c>
      <c r="G41" s="1244"/>
      <c r="H41" s="1244"/>
      <c r="I41" s="1244">
        <v>170000</v>
      </c>
      <c r="J41" s="1243"/>
      <c r="K41" s="1242"/>
      <c r="L41" s="1241"/>
    </row>
    <row r="42" spans="1:19" s="1256" customFormat="1" ht="15" customHeight="1">
      <c r="A42" s="4707"/>
      <c r="B42" s="4724"/>
      <c r="C42" s="4722"/>
      <c r="D42" s="4720"/>
      <c r="E42" s="1249" t="s">
        <v>449</v>
      </c>
      <c r="F42" s="1244">
        <f t="shared" si="1"/>
        <v>30000</v>
      </c>
      <c r="G42" s="1244">
        <v>30000</v>
      </c>
      <c r="H42" s="1244"/>
      <c r="I42" s="1244"/>
      <c r="J42" s="1243"/>
      <c r="K42" s="1242"/>
      <c r="L42" s="1241"/>
    </row>
    <row r="43" spans="1:19" s="1256" customFormat="1" ht="15" customHeight="1">
      <c r="A43" s="4707"/>
      <c r="B43" s="4724"/>
      <c r="C43" s="4722"/>
      <c r="D43" s="4720"/>
      <c r="E43" s="1249" t="s">
        <v>529</v>
      </c>
      <c r="F43" s="1244">
        <f t="shared" si="1"/>
        <v>3305600</v>
      </c>
      <c r="G43" s="1244"/>
      <c r="H43" s="1244"/>
      <c r="I43" s="1244">
        <v>3305600</v>
      </c>
      <c r="J43" s="1243"/>
      <c r="K43" s="1242"/>
      <c r="L43" s="1241"/>
    </row>
    <row r="44" spans="1:19" s="1256" customFormat="1" ht="15" customHeight="1">
      <c r="A44" s="4707"/>
      <c r="B44" s="4724"/>
      <c r="C44" s="4722"/>
      <c r="D44" s="4720"/>
      <c r="E44" s="1249" t="s">
        <v>445</v>
      </c>
      <c r="F44" s="1244">
        <f t="shared" si="1"/>
        <v>583341</v>
      </c>
      <c r="G44" s="1244">
        <v>583341</v>
      </c>
      <c r="H44" s="1244"/>
      <c r="I44" s="1244"/>
      <c r="J44" s="1243"/>
      <c r="K44" s="1242"/>
      <c r="L44" s="1241"/>
    </row>
    <row r="45" spans="1:19" s="1256" customFormat="1" ht="15" customHeight="1">
      <c r="A45" s="4707"/>
      <c r="B45" s="4724"/>
      <c r="C45" s="4722"/>
      <c r="D45" s="4720"/>
      <c r="E45" s="1249" t="s">
        <v>524</v>
      </c>
      <c r="F45" s="1244">
        <f t="shared" si="1"/>
        <v>10200</v>
      </c>
      <c r="G45" s="1244"/>
      <c r="H45" s="1244"/>
      <c r="I45" s="1244">
        <v>10200</v>
      </c>
      <c r="J45" s="1243"/>
      <c r="K45" s="1242"/>
      <c r="L45" s="1241"/>
    </row>
    <row r="46" spans="1:19" s="1256" customFormat="1" ht="15" customHeight="1">
      <c r="A46" s="4707"/>
      <c r="B46" s="4724"/>
      <c r="C46" s="4722"/>
      <c r="D46" s="4720"/>
      <c r="E46" s="1249" t="s">
        <v>466</v>
      </c>
      <c r="F46" s="1244">
        <f t="shared" si="1"/>
        <v>1800</v>
      </c>
      <c r="G46" s="1244">
        <v>1800</v>
      </c>
      <c r="H46" s="1244"/>
      <c r="I46" s="1244"/>
      <c r="J46" s="1243"/>
      <c r="K46" s="1242"/>
      <c r="L46" s="1241"/>
    </row>
    <row r="47" spans="1:19" s="1256" customFormat="1" ht="15" customHeight="1">
      <c r="A47" s="4707"/>
      <c r="B47" s="4724"/>
      <c r="C47" s="4722"/>
      <c r="D47" s="4720"/>
      <c r="E47" s="1249" t="s">
        <v>575</v>
      </c>
      <c r="F47" s="1244">
        <f t="shared" si="1"/>
        <v>10200</v>
      </c>
      <c r="G47" s="1244"/>
      <c r="H47" s="1244"/>
      <c r="I47" s="1244">
        <v>10200</v>
      </c>
      <c r="J47" s="1243"/>
      <c r="K47" s="1242"/>
      <c r="L47" s="1241"/>
    </row>
    <row r="48" spans="1:19" s="1256" customFormat="1" ht="15" customHeight="1">
      <c r="A48" s="4707"/>
      <c r="B48" s="4724"/>
      <c r="C48" s="4722"/>
      <c r="D48" s="4720"/>
      <c r="E48" s="1249" t="s">
        <v>574</v>
      </c>
      <c r="F48" s="1244">
        <f t="shared" si="1"/>
        <v>1800</v>
      </c>
      <c r="G48" s="1244">
        <v>1800</v>
      </c>
      <c r="H48" s="1244"/>
      <c r="I48" s="1244"/>
      <c r="J48" s="1243"/>
      <c r="K48" s="1242"/>
      <c r="L48" s="1241"/>
    </row>
    <row r="49" spans="1:15" s="1256" customFormat="1" ht="15" customHeight="1">
      <c r="A49" s="4708"/>
      <c r="B49" s="4725"/>
      <c r="C49" s="4696"/>
      <c r="D49" s="4719"/>
      <c r="E49" s="1239" t="s">
        <v>423</v>
      </c>
      <c r="F49" s="1238">
        <f>SUM(F50:F51)</f>
        <v>0</v>
      </c>
      <c r="G49" s="1238">
        <f>SUM(G50:G51)</f>
        <v>0</v>
      </c>
      <c r="H49" s="1238">
        <f>SUM(H50:H51)</f>
        <v>0</v>
      </c>
      <c r="I49" s="1238">
        <f>SUM(I50:I51)</f>
        <v>0</v>
      </c>
      <c r="J49" s="1237">
        <f>SUM(J50:J51)</f>
        <v>0</v>
      </c>
      <c r="K49" s="1242"/>
      <c r="L49" s="1241"/>
    </row>
    <row r="50" spans="1:15" s="1240" customFormat="1" ht="15" hidden="1" customHeight="1">
      <c r="A50" s="1300"/>
      <c r="B50" s="1313"/>
      <c r="C50" s="1298"/>
      <c r="D50" s="1297"/>
      <c r="E50" s="1236" t="s">
        <v>500</v>
      </c>
      <c r="F50" s="1230">
        <f>SUM(G50:J50)</f>
        <v>0</v>
      </c>
      <c r="G50" s="1230"/>
      <c r="H50" s="1230"/>
      <c r="I50" s="1230"/>
      <c r="J50" s="1229"/>
      <c r="K50" s="1255"/>
      <c r="L50" s="1254"/>
    </row>
    <row r="51" spans="1:15" s="1240" customFormat="1" ht="15" hidden="1" customHeight="1">
      <c r="A51" s="1296"/>
      <c r="B51" s="1312"/>
      <c r="C51" s="1294"/>
      <c r="D51" s="1293"/>
      <c r="E51" s="1231">
        <v>6069</v>
      </c>
      <c r="F51" s="1230">
        <f>SUM(G51:J51)</f>
        <v>0</v>
      </c>
      <c r="G51" s="1230"/>
      <c r="H51" s="1230"/>
      <c r="I51" s="1230"/>
      <c r="J51" s="1229"/>
      <c r="K51" s="1255"/>
      <c r="L51" s="1254"/>
    </row>
    <row r="52" spans="1:15" s="1240" customFormat="1" ht="22.5">
      <c r="A52" s="4706" t="s">
        <v>438</v>
      </c>
      <c r="B52" s="4709" t="s">
        <v>635</v>
      </c>
      <c r="C52" s="4695">
        <v>750</v>
      </c>
      <c r="D52" s="4718" t="s">
        <v>571</v>
      </c>
      <c r="E52" s="1253" t="s">
        <v>435</v>
      </c>
      <c r="F52" s="1252">
        <f>SUM(F53,F63)</f>
        <v>14947142</v>
      </c>
      <c r="G52" s="1252">
        <f>SUM(G53,G63)</f>
        <v>2241152</v>
      </c>
      <c r="H52" s="1252">
        <f>SUM(H53,H63)</f>
        <v>0</v>
      </c>
      <c r="I52" s="1252">
        <f>SUM(I53,I63)</f>
        <v>12705990</v>
      </c>
      <c r="J52" s="1251">
        <f>SUM(J53,J63)</f>
        <v>0</v>
      </c>
      <c r="K52" s="1306"/>
      <c r="L52" s="1306"/>
      <c r="M52" s="1306"/>
      <c r="N52" s="1306"/>
      <c r="O52" s="1306"/>
    </row>
    <row r="53" spans="1:15" s="1240" customFormat="1" ht="21">
      <c r="A53" s="4707"/>
      <c r="B53" s="4710"/>
      <c r="C53" s="4722"/>
      <c r="D53" s="4720"/>
      <c r="E53" s="1250" t="s">
        <v>434</v>
      </c>
      <c r="F53" s="1238">
        <f>SUM(F54,F58)</f>
        <v>1748212</v>
      </c>
      <c r="G53" s="1238">
        <f>SUM(G54,G58)</f>
        <v>261312</v>
      </c>
      <c r="H53" s="1238">
        <f>SUM(H54,H58)</f>
        <v>0</v>
      </c>
      <c r="I53" s="1238">
        <f>SUM(I54,I58)</f>
        <v>1486900</v>
      </c>
      <c r="J53" s="1237">
        <f>SUM(J54,J58)</f>
        <v>0</v>
      </c>
      <c r="K53" s="1276"/>
      <c r="L53" s="1276"/>
      <c r="M53" s="1276"/>
      <c r="N53" s="1276"/>
      <c r="O53" s="1276"/>
    </row>
    <row r="54" spans="1:15" s="1240" customFormat="1" ht="22.5">
      <c r="A54" s="4707"/>
      <c r="B54" s="4710"/>
      <c r="C54" s="4722"/>
      <c r="D54" s="4720"/>
      <c r="E54" s="1248" t="s">
        <v>432</v>
      </c>
      <c r="F54" s="1247">
        <f>SUM(F55:F57)</f>
        <v>20000</v>
      </c>
      <c r="G54" s="1247">
        <f>SUM(G55:G57)</f>
        <v>3000</v>
      </c>
      <c r="H54" s="1247">
        <f>SUM(H55:H57)</f>
        <v>0</v>
      </c>
      <c r="I54" s="1247">
        <f>SUM(I55:I57)</f>
        <v>17000</v>
      </c>
      <c r="J54" s="1246">
        <f>SUM(J55:J57)</f>
        <v>0</v>
      </c>
      <c r="K54" s="1276"/>
      <c r="L54" s="1276"/>
      <c r="M54" s="1276"/>
      <c r="N54" s="1276"/>
      <c r="O54" s="1276"/>
    </row>
    <row r="55" spans="1:15" s="1240" customFormat="1" ht="15" customHeight="1">
      <c r="A55" s="4707"/>
      <c r="B55" s="4710"/>
      <c r="C55" s="4722"/>
      <c r="D55" s="4720"/>
      <c r="E55" s="1249" t="s">
        <v>535</v>
      </c>
      <c r="F55" s="1244">
        <f>SUM(G55:J55)</f>
        <v>17000</v>
      </c>
      <c r="G55" s="1244"/>
      <c r="H55" s="1244"/>
      <c r="I55" s="1244">
        <v>17000</v>
      </c>
      <c r="J55" s="1243"/>
      <c r="K55" s="1255"/>
      <c r="L55" s="1254"/>
    </row>
    <row r="56" spans="1:15" s="1240" customFormat="1" ht="15" customHeight="1">
      <c r="A56" s="4707"/>
      <c r="B56" s="4710"/>
      <c r="C56" s="4722"/>
      <c r="D56" s="4720"/>
      <c r="E56" s="1249" t="s">
        <v>455</v>
      </c>
      <c r="F56" s="1244">
        <f>SUM(G56:J56)</f>
        <v>3000</v>
      </c>
      <c r="G56" s="1244">
        <v>3000</v>
      </c>
      <c r="H56" s="1244"/>
      <c r="I56" s="1244"/>
      <c r="J56" s="1243"/>
      <c r="K56" s="1255"/>
      <c r="L56" s="1254"/>
    </row>
    <row r="57" spans="1:15" s="1240" customFormat="1" ht="15" hidden="1" customHeight="1">
      <c r="A57" s="4707"/>
      <c r="B57" s="4710"/>
      <c r="C57" s="4722"/>
      <c r="D57" s="4720"/>
      <c r="E57" s="1249"/>
      <c r="F57" s="1244">
        <f>SUM(G57:J57)</f>
        <v>0</v>
      </c>
      <c r="G57" s="1244"/>
      <c r="H57" s="1244"/>
      <c r="I57" s="1244"/>
      <c r="J57" s="1243"/>
      <c r="K57" s="1255"/>
      <c r="L57" s="1254"/>
    </row>
    <row r="58" spans="1:15" s="1240" customFormat="1" ht="22.5">
      <c r="A58" s="4707"/>
      <c r="B58" s="4710"/>
      <c r="C58" s="4722"/>
      <c r="D58" s="4720"/>
      <c r="E58" s="1248" t="s">
        <v>427</v>
      </c>
      <c r="F58" s="1247">
        <f>SUM(F59:F62)</f>
        <v>1728212</v>
      </c>
      <c r="G58" s="1247">
        <f>SUM(G59:G62)</f>
        <v>258312</v>
      </c>
      <c r="H58" s="1247">
        <f>SUM(H59:H62)</f>
        <v>0</v>
      </c>
      <c r="I58" s="1247">
        <f>SUM(I59:I62)</f>
        <v>1469900</v>
      </c>
      <c r="J58" s="1246">
        <f>SUM(J59:J62)</f>
        <v>0</v>
      </c>
      <c r="K58" s="1272"/>
      <c r="L58" s="1254"/>
    </row>
    <row r="59" spans="1:15" s="1240" customFormat="1" ht="15" customHeight="1">
      <c r="A59" s="4707"/>
      <c r="B59" s="4710"/>
      <c r="C59" s="4722"/>
      <c r="D59" s="4720"/>
      <c r="E59" s="1249" t="s">
        <v>529</v>
      </c>
      <c r="F59" s="1244">
        <f>SUM(G59:J59)</f>
        <v>59516</v>
      </c>
      <c r="G59" s="1244"/>
      <c r="H59" s="1244"/>
      <c r="I59" s="1244">
        <v>59516</v>
      </c>
      <c r="J59" s="1243"/>
      <c r="K59" s="1255"/>
      <c r="L59" s="1254"/>
    </row>
    <row r="60" spans="1:15" s="1240" customFormat="1" ht="15" customHeight="1">
      <c r="A60" s="4707"/>
      <c r="B60" s="4710"/>
      <c r="C60" s="4722"/>
      <c r="D60" s="4720"/>
      <c r="E60" s="1249" t="s">
        <v>445</v>
      </c>
      <c r="F60" s="1244">
        <f>SUM(G60:J60)</f>
        <v>9421</v>
      </c>
      <c r="G60" s="1244">
        <v>9421</v>
      </c>
      <c r="H60" s="1244"/>
      <c r="I60" s="1244"/>
      <c r="J60" s="1243"/>
      <c r="K60" s="1255"/>
      <c r="L60" s="1254"/>
    </row>
    <row r="61" spans="1:15" s="1240" customFormat="1" ht="15" customHeight="1">
      <c r="A61" s="4707"/>
      <c r="B61" s="4710"/>
      <c r="C61" s="4722"/>
      <c r="D61" s="4720"/>
      <c r="E61" s="1249" t="s">
        <v>591</v>
      </c>
      <c r="F61" s="1244">
        <f>SUM(G61:J61)</f>
        <v>1410384</v>
      </c>
      <c r="G61" s="1244"/>
      <c r="H61" s="1244"/>
      <c r="I61" s="1244">
        <v>1410384</v>
      </c>
      <c r="J61" s="1243"/>
      <c r="K61" s="1255"/>
      <c r="L61" s="1254"/>
    </row>
    <row r="62" spans="1:15" s="1240" customFormat="1" ht="15" customHeight="1">
      <c r="A62" s="4707"/>
      <c r="B62" s="4710"/>
      <c r="C62" s="4722"/>
      <c r="D62" s="4719"/>
      <c r="E62" s="1249" t="s">
        <v>491</v>
      </c>
      <c r="F62" s="1244">
        <f>SUM(G62:J62)</f>
        <v>248891</v>
      </c>
      <c r="G62" s="1244">
        <v>248891</v>
      </c>
      <c r="H62" s="1244"/>
      <c r="I62" s="1244"/>
      <c r="J62" s="1243"/>
      <c r="K62" s="1255"/>
      <c r="L62" s="1254"/>
    </row>
    <row r="63" spans="1:15" s="1240" customFormat="1" ht="15" customHeight="1">
      <c r="A63" s="4707"/>
      <c r="B63" s="4710"/>
      <c r="C63" s="4722"/>
      <c r="D63" s="4718" t="s">
        <v>482</v>
      </c>
      <c r="E63" s="1239" t="s">
        <v>423</v>
      </c>
      <c r="F63" s="1238">
        <f>SUM(F64:F65)</f>
        <v>13198930</v>
      </c>
      <c r="G63" s="1238">
        <f>SUM(G64:G65)</f>
        <v>1979840</v>
      </c>
      <c r="H63" s="1238">
        <f>SUM(H64:H65)</f>
        <v>0</v>
      </c>
      <c r="I63" s="1238">
        <f>SUM(I64:I65)</f>
        <v>11219090</v>
      </c>
      <c r="J63" s="1237">
        <f>SUM(J64:J65)</f>
        <v>0</v>
      </c>
      <c r="K63" s="1255"/>
      <c r="L63" s="1254"/>
    </row>
    <row r="64" spans="1:15" s="1240" customFormat="1" ht="15" customHeight="1">
      <c r="A64" s="4707"/>
      <c r="B64" s="4710"/>
      <c r="C64" s="4722"/>
      <c r="D64" s="4720"/>
      <c r="E64" s="1249" t="s">
        <v>625</v>
      </c>
      <c r="F64" s="1244">
        <f>SUM(G64:J64)</f>
        <v>11219090</v>
      </c>
      <c r="G64" s="1244"/>
      <c r="H64" s="1244"/>
      <c r="I64" s="1244">
        <v>11219090</v>
      </c>
      <c r="J64" s="1243"/>
      <c r="K64" s="1255"/>
      <c r="L64" s="1254"/>
    </row>
    <row r="65" spans="1:12" s="1240" customFormat="1" ht="15" customHeight="1">
      <c r="A65" s="4708"/>
      <c r="B65" s="4711"/>
      <c r="C65" s="4696"/>
      <c r="D65" s="4719"/>
      <c r="E65" s="1249" t="s">
        <v>505</v>
      </c>
      <c r="F65" s="1244">
        <f>SUM(G65:J65)</f>
        <v>1979840</v>
      </c>
      <c r="G65" s="1244">
        <v>1979840</v>
      </c>
      <c r="H65" s="1244"/>
      <c r="I65" s="1244"/>
      <c r="J65" s="1243"/>
      <c r="K65" s="1255"/>
      <c r="L65" s="1254"/>
    </row>
    <row r="66" spans="1:12" s="1240" customFormat="1" ht="22.5">
      <c r="A66" s="4692" t="s">
        <v>549</v>
      </c>
      <c r="B66" s="4721" t="s">
        <v>634</v>
      </c>
      <c r="C66" s="4694">
        <v>750</v>
      </c>
      <c r="D66" s="4705" t="s">
        <v>571</v>
      </c>
      <c r="E66" s="1253" t="s">
        <v>435</v>
      </c>
      <c r="F66" s="1252">
        <f>SUM(F67,F82)</f>
        <v>23371460</v>
      </c>
      <c r="G66" s="1252">
        <f>SUM(G67,G82)</f>
        <v>3505719</v>
      </c>
      <c r="H66" s="1252">
        <f>SUM(H67,H82)</f>
        <v>0</v>
      </c>
      <c r="I66" s="1252">
        <f>SUM(I67,I82)</f>
        <v>19865741</v>
      </c>
      <c r="J66" s="1251">
        <f>SUM(J67,J82)</f>
        <v>0</v>
      </c>
      <c r="K66" s="1272"/>
      <c r="L66" s="1254"/>
    </row>
    <row r="67" spans="1:12" s="1240" customFormat="1" ht="21">
      <c r="A67" s="4692"/>
      <c r="B67" s="4721"/>
      <c r="C67" s="4694"/>
      <c r="D67" s="4705"/>
      <c r="E67" s="1250" t="s">
        <v>434</v>
      </c>
      <c r="F67" s="1238">
        <f>SUM(F68,F79)</f>
        <v>23371460</v>
      </c>
      <c r="G67" s="1238">
        <f>SUM(G68,G79)</f>
        <v>3505719</v>
      </c>
      <c r="H67" s="1238">
        <f>SUM(H68,H79)</f>
        <v>0</v>
      </c>
      <c r="I67" s="1238">
        <f>SUM(I68,I79)</f>
        <v>19865741</v>
      </c>
      <c r="J67" s="1237">
        <f>SUM(J68,J79)</f>
        <v>0</v>
      </c>
      <c r="K67" s="1255"/>
      <c r="L67" s="1254"/>
    </row>
    <row r="68" spans="1:12" s="1240" customFormat="1" ht="22.5">
      <c r="A68" s="4692"/>
      <c r="B68" s="4721"/>
      <c r="C68" s="4694"/>
      <c r="D68" s="4705"/>
      <c r="E68" s="1248" t="s">
        <v>432</v>
      </c>
      <c r="F68" s="1247">
        <f>SUM(F69:F78)</f>
        <v>23371460</v>
      </c>
      <c r="G68" s="1247">
        <f>SUM(G69:G78)</f>
        <v>3505719</v>
      </c>
      <c r="H68" s="1247">
        <f>SUM(H69:H78)</f>
        <v>0</v>
      </c>
      <c r="I68" s="1247">
        <f>SUM(I69:I78)</f>
        <v>19865741</v>
      </c>
      <c r="J68" s="1246">
        <f>SUM(J69:J78)</f>
        <v>0</v>
      </c>
      <c r="K68" s="1272"/>
      <c r="L68" s="1254"/>
    </row>
    <row r="69" spans="1:12" s="1240" customFormat="1" ht="15" customHeight="1">
      <c r="A69" s="4692"/>
      <c r="B69" s="4721"/>
      <c r="C69" s="4694"/>
      <c r="D69" s="4705"/>
      <c r="E69" s="1249" t="s">
        <v>479</v>
      </c>
      <c r="F69" s="1244">
        <f t="shared" ref="F69:F81" si="2">SUM(G69:J69)</f>
        <v>14849976</v>
      </c>
      <c r="G69" s="1244"/>
      <c r="H69" s="1244"/>
      <c r="I69" s="1244">
        <v>14849976</v>
      </c>
      <c r="J69" s="1243"/>
      <c r="K69" s="1255"/>
      <c r="L69" s="1254"/>
    </row>
    <row r="70" spans="1:12" s="1240" customFormat="1" ht="15" customHeight="1">
      <c r="A70" s="4692"/>
      <c r="B70" s="4721"/>
      <c r="C70" s="4694"/>
      <c r="D70" s="4705"/>
      <c r="E70" s="1249" t="s">
        <v>461</v>
      </c>
      <c r="F70" s="1244">
        <f t="shared" si="2"/>
        <v>2620584</v>
      </c>
      <c r="G70" s="1244">
        <v>2620584</v>
      </c>
      <c r="H70" s="1244"/>
      <c r="I70" s="1244"/>
      <c r="J70" s="1243"/>
      <c r="K70" s="1255"/>
      <c r="L70" s="1254"/>
    </row>
    <row r="71" spans="1:12" s="1240" customFormat="1" ht="15" customHeight="1">
      <c r="A71" s="4692"/>
      <c r="B71" s="4721"/>
      <c r="C71" s="4694"/>
      <c r="D71" s="4705"/>
      <c r="E71" s="1249" t="s">
        <v>536</v>
      </c>
      <c r="F71" s="1244">
        <f t="shared" si="2"/>
        <v>1658928</v>
      </c>
      <c r="G71" s="1244"/>
      <c r="H71" s="1244"/>
      <c r="I71" s="1244">
        <v>1658928</v>
      </c>
      <c r="J71" s="1243"/>
      <c r="K71" s="1255"/>
      <c r="L71" s="1254"/>
    </row>
    <row r="72" spans="1:12" s="1240" customFormat="1" ht="15" customHeight="1">
      <c r="A72" s="4692"/>
      <c r="B72" s="4721"/>
      <c r="C72" s="4694"/>
      <c r="D72" s="4705"/>
      <c r="E72" s="1249" t="s">
        <v>493</v>
      </c>
      <c r="F72" s="1244">
        <f t="shared" si="2"/>
        <v>292752</v>
      </c>
      <c r="G72" s="1244">
        <v>292752</v>
      </c>
      <c r="H72" s="1244"/>
      <c r="I72" s="1244"/>
      <c r="J72" s="1243"/>
      <c r="K72" s="1255"/>
      <c r="L72" s="1254"/>
    </row>
    <row r="73" spans="1:12" s="1240" customFormat="1" ht="15" customHeight="1">
      <c r="A73" s="4692"/>
      <c r="B73" s="4721"/>
      <c r="C73" s="4694"/>
      <c r="D73" s="4705"/>
      <c r="E73" s="1249" t="s">
        <v>478</v>
      </c>
      <c r="F73" s="1244">
        <f t="shared" si="2"/>
        <v>2837878</v>
      </c>
      <c r="G73" s="1244"/>
      <c r="H73" s="1244"/>
      <c r="I73" s="1244">
        <v>2837878</v>
      </c>
      <c r="J73" s="1243"/>
      <c r="K73" s="1255"/>
      <c r="L73" s="1254"/>
    </row>
    <row r="74" spans="1:12" s="1240" customFormat="1" ht="15" customHeight="1">
      <c r="A74" s="4692"/>
      <c r="B74" s="4721"/>
      <c r="C74" s="4694"/>
      <c r="D74" s="4705"/>
      <c r="E74" s="1249" t="s">
        <v>459</v>
      </c>
      <c r="F74" s="1244">
        <f t="shared" si="2"/>
        <v>500802</v>
      </c>
      <c r="G74" s="1244">
        <v>500802</v>
      </c>
      <c r="H74" s="1244"/>
      <c r="I74" s="1244"/>
      <c r="J74" s="1243"/>
      <c r="K74" s="1255"/>
      <c r="L74" s="1254"/>
    </row>
    <row r="75" spans="1:12" s="1240" customFormat="1" ht="15" customHeight="1">
      <c r="A75" s="4692"/>
      <c r="B75" s="4721"/>
      <c r="C75" s="4694"/>
      <c r="D75" s="4705"/>
      <c r="E75" s="1249" t="s">
        <v>477</v>
      </c>
      <c r="F75" s="1244">
        <f t="shared" si="2"/>
        <v>404464</v>
      </c>
      <c r="G75" s="1244"/>
      <c r="H75" s="1244"/>
      <c r="I75" s="1244">
        <v>404464</v>
      </c>
      <c r="J75" s="1243"/>
      <c r="K75" s="1255"/>
      <c r="L75" s="1254"/>
    </row>
    <row r="76" spans="1:12" s="1240" customFormat="1" ht="15" customHeight="1">
      <c r="A76" s="4692"/>
      <c r="B76" s="4721"/>
      <c r="C76" s="4694"/>
      <c r="D76" s="4705"/>
      <c r="E76" s="1249" t="s">
        <v>457</v>
      </c>
      <c r="F76" s="1244">
        <f t="shared" si="2"/>
        <v>71376</v>
      </c>
      <c r="G76" s="1244">
        <v>71376</v>
      </c>
      <c r="H76" s="1244"/>
      <c r="I76" s="1244"/>
      <c r="J76" s="1243"/>
      <c r="K76" s="1255"/>
      <c r="L76" s="1254"/>
    </row>
    <row r="77" spans="1:12" s="1240" customFormat="1" ht="15" customHeight="1">
      <c r="A77" s="4692"/>
      <c r="B77" s="4721"/>
      <c r="C77" s="4694"/>
      <c r="D77" s="4705"/>
      <c r="E77" s="1249" t="s">
        <v>476</v>
      </c>
      <c r="F77" s="1244">
        <f t="shared" si="2"/>
        <v>114495</v>
      </c>
      <c r="G77" s="1244"/>
      <c r="H77" s="1244"/>
      <c r="I77" s="1244">
        <v>114495</v>
      </c>
      <c r="J77" s="1243"/>
      <c r="K77" s="1255"/>
      <c r="L77" s="1254"/>
    </row>
    <row r="78" spans="1:12" s="1240" customFormat="1" ht="15" customHeight="1">
      <c r="A78" s="4692"/>
      <c r="B78" s="4721"/>
      <c r="C78" s="4694"/>
      <c r="D78" s="4705"/>
      <c r="E78" s="1249" t="s">
        <v>453</v>
      </c>
      <c r="F78" s="1244">
        <f t="shared" si="2"/>
        <v>20205</v>
      </c>
      <c r="G78" s="1244">
        <v>20205</v>
      </c>
      <c r="H78" s="1244"/>
      <c r="I78" s="1244"/>
      <c r="J78" s="1243"/>
      <c r="K78" s="1255"/>
      <c r="L78" s="1254"/>
    </row>
    <row r="79" spans="1:12" s="1240" customFormat="1" ht="22.5" hidden="1">
      <c r="A79" s="4692"/>
      <c r="B79" s="4721"/>
      <c r="C79" s="4694"/>
      <c r="D79" s="4705"/>
      <c r="E79" s="1248" t="s">
        <v>427</v>
      </c>
      <c r="F79" s="1244">
        <f t="shared" si="2"/>
        <v>0</v>
      </c>
      <c r="G79" s="1247">
        <f>SUM(G80:G81)</f>
        <v>0</v>
      </c>
      <c r="H79" s="1247">
        <f>SUM(H80:H81)</f>
        <v>0</v>
      </c>
      <c r="I79" s="1247">
        <f>SUM(I80:I81)</f>
        <v>0</v>
      </c>
      <c r="J79" s="1246">
        <f>SUM(J80:J81)</f>
        <v>0</v>
      </c>
      <c r="K79" s="1255"/>
      <c r="L79" s="1254"/>
    </row>
    <row r="80" spans="1:12" s="1240" customFormat="1" ht="15" hidden="1" customHeight="1">
      <c r="A80" s="4692"/>
      <c r="B80" s="4721"/>
      <c r="C80" s="4694"/>
      <c r="D80" s="4705"/>
      <c r="E80" s="1249"/>
      <c r="F80" s="1244">
        <f t="shared" si="2"/>
        <v>0</v>
      </c>
      <c r="G80" s="1244"/>
      <c r="H80" s="1244"/>
      <c r="I80" s="1244"/>
      <c r="J80" s="1243"/>
      <c r="K80" s="1255"/>
      <c r="L80" s="1254"/>
    </row>
    <row r="81" spans="1:12" s="1240" customFormat="1" ht="15" hidden="1" customHeight="1">
      <c r="A81" s="4692"/>
      <c r="B81" s="4721"/>
      <c r="C81" s="4694"/>
      <c r="D81" s="4705"/>
      <c r="E81" s="1249"/>
      <c r="F81" s="1244">
        <f t="shared" si="2"/>
        <v>0</v>
      </c>
      <c r="G81" s="1244"/>
      <c r="H81" s="1244"/>
      <c r="I81" s="1244"/>
      <c r="J81" s="1243"/>
      <c r="K81" s="1255"/>
      <c r="L81" s="1254"/>
    </row>
    <row r="82" spans="1:12" s="1240" customFormat="1" ht="15" customHeight="1">
      <c r="A82" s="4692"/>
      <c r="B82" s="4721"/>
      <c r="C82" s="4694"/>
      <c r="D82" s="4705"/>
      <c r="E82" s="1239" t="s">
        <v>423</v>
      </c>
      <c r="F82" s="1238">
        <f>SUM(F83:F83)</f>
        <v>0</v>
      </c>
      <c r="G82" s="1238">
        <f>SUM(G83:G83)</f>
        <v>0</v>
      </c>
      <c r="H82" s="1238">
        <f>SUM(H83:H83)</f>
        <v>0</v>
      </c>
      <c r="I82" s="1238">
        <f>SUM(I83:I83)</f>
        <v>0</v>
      </c>
      <c r="J82" s="1237">
        <f>SUM(J83:J83)</f>
        <v>0</v>
      </c>
      <c r="K82" s="1255"/>
      <c r="L82" s="1254"/>
    </row>
    <row r="83" spans="1:12" s="1240" customFormat="1" ht="15" hidden="1" customHeight="1">
      <c r="A83" s="1235"/>
      <c r="B83" s="1311"/>
      <c r="C83" s="1233"/>
      <c r="D83" s="1232"/>
      <c r="E83" s="1236"/>
      <c r="F83" s="1230">
        <f>SUM(G83:J83)</f>
        <v>0</v>
      </c>
      <c r="G83" s="1230"/>
      <c r="H83" s="1230"/>
      <c r="I83" s="1230"/>
      <c r="J83" s="1229"/>
      <c r="K83" s="1255"/>
      <c r="L83" s="1254"/>
    </row>
    <row r="84" spans="1:12" s="1240" customFormat="1" ht="22.5" customHeight="1">
      <c r="A84" s="4706" t="s">
        <v>633</v>
      </c>
      <c r="B84" s="4709" t="s">
        <v>632</v>
      </c>
      <c r="C84" s="4695">
        <v>750</v>
      </c>
      <c r="D84" s="4718" t="s">
        <v>571</v>
      </c>
      <c r="E84" s="1253" t="s">
        <v>435</v>
      </c>
      <c r="F84" s="1252">
        <f>SUM(F85,F120)</f>
        <v>5558000</v>
      </c>
      <c r="G84" s="1252">
        <f>SUM(G85,G120)</f>
        <v>833700</v>
      </c>
      <c r="H84" s="1252">
        <f>SUM(H85,H120)</f>
        <v>0</v>
      </c>
      <c r="I84" s="1252">
        <f>SUM(I85,I120)</f>
        <v>4724300</v>
      </c>
      <c r="J84" s="1251">
        <f>SUM(J85,J120)</f>
        <v>0</v>
      </c>
      <c r="K84" s="1255"/>
      <c r="L84" s="1254"/>
    </row>
    <row r="85" spans="1:12" s="1240" customFormat="1" ht="18.75" customHeight="1">
      <c r="A85" s="4707"/>
      <c r="B85" s="4710"/>
      <c r="C85" s="4722"/>
      <c r="D85" s="4720"/>
      <c r="E85" s="1250" t="s">
        <v>434</v>
      </c>
      <c r="F85" s="1238">
        <f>SUM(F86,F93)</f>
        <v>5558000</v>
      </c>
      <c r="G85" s="1238">
        <f>SUM(G86,G93)</f>
        <v>833700</v>
      </c>
      <c r="H85" s="1238">
        <f>SUM(H86,H93)</f>
        <v>0</v>
      </c>
      <c r="I85" s="1238">
        <f>SUM(I86,I93)</f>
        <v>4724300</v>
      </c>
      <c r="J85" s="1237">
        <f>SUM(J86,J93)</f>
        <v>0</v>
      </c>
      <c r="K85" s="1255"/>
      <c r="L85" s="1254"/>
    </row>
    <row r="86" spans="1:12" s="1240" customFormat="1" ht="19.5" customHeight="1">
      <c r="A86" s="4707"/>
      <c r="B86" s="4710"/>
      <c r="C86" s="4722"/>
      <c r="D86" s="4720"/>
      <c r="E86" s="1248" t="s">
        <v>432</v>
      </c>
      <c r="F86" s="1247">
        <f>SUM(F87:F92)</f>
        <v>1441400</v>
      </c>
      <c r="G86" s="1247">
        <f>SUM(G87:G92)</f>
        <v>216210</v>
      </c>
      <c r="H86" s="1247">
        <f>SUM(H87:H92)</f>
        <v>0</v>
      </c>
      <c r="I86" s="1247">
        <f>SUM(I87:I92)</f>
        <v>1225190</v>
      </c>
      <c r="J86" s="1246">
        <f>SUM(J87:J92)</f>
        <v>0</v>
      </c>
      <c r="K86" s="1255"/>
      <c r="L86" s="1254"/>
    </row>
    <row r="87" spans="1:12" s="1240" customFormat="1" ht="15" customHeight="1">
      <c r="A87" s="4707"/>
      <c r="B87" s="4710"/>
      <c r="C87" s="4722"/>
      <c r="D87" s="4720"/>
      <c r="E87" s="1249" t="s">
        <v>478</v>
      </c>
      <c r="F87" s="1244">
        <f t="shared" ref="F87:F92" si="3">SUM(G87:J87)</f>
        <v>30260</v>
      </c>
      <c r="G87" s="1244"/>
      <c r="H87" s="1244"/>
      <c r="I87" s="1244">
        <v>30260</v>
      </c>
      <c r="J87" s="1243"/>
      <c r="K87" s="1255"/>
      <c r="L87" s="1254"/>
    </row>
    <row r="88" spans="1:12" s="1240" customFormat="1" ht="15" customHeight="1">
      <c r="A88" s="4707"/>
      <c r="B88" s="4710"/>
      <c r="C88" s="4722"/>
      <c r="D88" s="4720"/>
      <c r="E88" s="1249" t="s">
        <v>459</v>
      </c>
      <c r="F88" s="1244">
        <f t="shared" si="3"/>
        <v>5340</v>
      </c>
      <c r="G88" s="1244">
        <v>5340</v>
      </c>
      <c r="H88" s="1244"/>
      <c r="I88" s="1244"/>
      <c r="J88" s="1243"/>
      <c r="K88" s="1255"/>
      <c r="L88" s="1254"/>
    </row>
    <row r="89" spans="1:12" s="1240" customFormat="1" ht="15" customHeight="1">
      <c r="A89" s="4707"/>
      <c r="B89" s="4710"/>
      <c r="C89" s="4722"/>
      <c r="D89" s="4720"/>
      <c r="E89" s="1249" t="s">
        <v>477</v>
      </c>
      <c r="F89" s="1244">
        <f t="shared" si="3"/>
        <v>4080</v>
      </c>
      <c r="G89" s="1244"/>
      <c r="H89" s="1244"/>
      <c r="I89" s="1244">
        <v>4080</v>
      </c>
      <c r="J89" s="1243"/>
      <c r="K89" s="1255"/>
      <c r="L89" s="1254"/>
    </row>
    <row r="90" spans="1:12" s="1240" customFormat="1" ht="15" customHeight="1">
      <c r="A90" s="4707"/>
      <c r="B90" s="4710"/>
      <c r="C90" s="4722"/>
      <c r="D90" s="4720"/>
      <c r="E90" s="1249" t="s">
        <v>457</v>
      </c>
      <c r="F90" s="1244">
        <f t="shared" si="3"/>
        <v>720</v>
      </c>
      <c r="G90" s="1244">
        <v>720</v>
      </c>
      <c r="H90" s="1244"/>
      <c r="I90" s="1244"/>
      <c r="J90" s="1243"/>
      <c r="K90" s="1255"/>
      <c r="L90" s="1254"/>
    </row>
    <row r="91" spans="1:12" s="1240" customFormat="1" ht="15" customHeight="1">
      <c r="A91" s="4707"/>
      <c r="B91" s="4710"/>
      <c r="C91" s="4722"/>
      <c r="D91" s="4720"/>
      <c r="E91" s="1249" t="s">
        <v>535</v>
      </c>
      <c r="F91" s="1244">
        <f t="shared" si="3"/>
        <v>1190850</v>
      </c>
      <c r="G91" s="1244"/>
      <c r="H91" s="1244"/>
      <c r="I91" s="1244">
        <v>1190850</v>
      </c>
      <c r="J91" s="1243"/>
      <c r="K91" s="1255"/>
      <c r="L91" s="1254"/>
    </row>
    <row r="92" spans="1:12" s="1240" customFormat="1" ht="15" customHeight="1">
      <c r="A92" s="4707"/>
      <c r="B92" s="4710"/>
      <c r="C92" s="4722"/>
      <c r="D92" s="4720"/>
      <c r="E92" s="1249" t="s">
        <v>455</v>
      </c>
      <c r="F92" s="1244">
        <f t="shared" si="3"/>
        <v>210150</v>
      </c>
      <c r="G92" s="1244">
        <v>210150</v>
      </c>
      <c r="H92" s="1244"/>
      <c r="I92" s="1244"/>
      <c r="J92" s="1243"/>
      <c r="K92" s="1255"/>
      <c r="L92" s="1254"/>
    </row>
    <row r="93" spans="1:12" s="1240" customFormat="1" ht="18.75" customHeight="1">
      <c r="A93" s="4707"/>
      <c r="B93" s="4710"/>
      <c r="C93" s="4722"/>
      <c r="D93" s="4720"/>
      <c r="E93" s="1248" t="s">
        <v>427</v>
      </c>
      <c r="F93" s="1247">
        <f>SUM(F94:F119)</f>
        <v>4116600</v>
      </c>
      <c r="G93" s="1247">
        <f>SUM(G94:G119)</f>
        <v>617490</v>
      </c>
      <c r="H93" s="1247">
        <f>SUM(H94:H119)</f>
        <v>0</v>
      </c>
      <c r="I93" s="1247">
        <f>SUM(I94:I119)</f>
        <v>3499110</v>
      </c>
      <c r="J93" s="1246">
        <f>SUM(J94:J119)</f>
        <v>0</v>
      </c>
      <c r="K93" s="1255"/>
      <c r="L93" s="1254"/>
    </row>
    <row r="94" spans="1:12" s="1240" customFormat="1" ht="15" customHeight="1">
      <c r="A94" s="4707"/>
      <c r="B94" s="4710"/>
      <c r="C94" s="4722"/>
      <c r="D94" s="4720"/>
      <c r="E94" s="1249" t="s">
        <v>534</v>
      </c>
      <c r="F94" s="1244">
        <f t="shared" ref="F94:F119" si="4">SUM(G94:J94)</f>
        <v>25500</v>
      </c>
      <c r="G94" s="1244"/>
      <c r="H94" s="1244"/>
      <c r="I94" s="1244">
        <v>25500</v>
      </c>
      <c r="J94" s="1243"/>
      <c r="K94" s="1255"/>
      <c r="L94" s="1254"/>
    </row>
    <row r="95" spans="1:12" s="1240" customFormat="1" ht="15" customHeight="1">
      <c r="A95" s="4707"/>
      <c r="B95" s="4710"/>
      <c r="C95" s="4722"/>
      <c r="D95" s="4720"/>
      <c r="E95" s="1249" t="s">
        <v>515</v>
      </c>
      <c r="F95" s="1244">
        <f t="shared" si="4"/>
        <v>4500</v>
      </c>
      <c r="G95" s="1244">
        <v>4500</v>
      </c>
      <c r="H95" s="1244"/>
      <c r="I95" s="1244"/>
      <c r="J95" s="1243"/>
      <c r="K95" s="1255"/>
      <c r="L95" s="1254"/>
    </row>
    <row r="96" spans="1:12" s="1240" customFormat="1" ht="15" customHeight="1">
      <c r="A96" s="4707"/>
      <c r="B96" s="4710"/>
      <c r="C96" s="4722"/>
      <c r="D96" s="4720"/>
      <c r="E96" s="1249" t="s">
        <v>631</v>
      </c>
      <c r="F96" s="1244">
        <f t="shared" si="4"/>
        <v>20400</v>
      </c>
      <c r="G96" s="1244"/>
      <c r="H96" s="1244"/>
      <c r="I96" s="1244">
        <v>20400</v>
      </c>
      <c r="J96" s="1243"/>
      <c r="K96" s="1255"/>
      <c r="L96" s="1254"/>
    </row>
    <row r="97" spans="1:12" s="1240" customFormat="1" ht="15" customHeight="1">
      <c r="A97" s="4707"/>
      <c r="B97" s="4710"/>
      <c r="C97" s="4722"/>
      <c r="D97" s="4720"/>
      <c r="E97" s="1249" t="s">
        <v>630</v>
      </c>
      <c r="F97" s="1244">
        <f t="shared" si="4"/>
        <v>3600</v>
      </c>
      <c r="G97" s="1244">
        <v>3600</v>
      </c>
      <c r="H97" s="1244"/>
      <c r="I97" s="1244"/>
      <c r="J97" s="1243"/>
      <c r="K97" s="1255"/>
      <c r="L97" s="1254"/>
    </row>
    <row r="98" spans="1:12" s="1240" customFormat="1" ht="15" customHeight="1">
      <c r="A98" s="4707"/>
      <c r="B98" s="4710"/>
      <c r="C98" s="4722"/>
      <c r="D98" s="4720"/>
      <c r="E98" s="1249" t="s">
        <v>533</v>
      </c>
      <c r="F98" s="1244">
        <f t="shared" si="4"/>
        <v>1020000</v>
      </c>
      <c r="G98" s="1244"/>
      <c r="H98" s="1244"/>
      <c r="I98" s="1244">
        <v>1020000</v>
      </c>
      <c r="J98" s="1243"/>
      <c r="K98" s="1255"/>
      <c r="L98" s="1254"/>
    </row>
    <row r="99" spans="1:12" s="1240" customFormat="1" ht="15" customHeight="1">
      <c r="A99" s="4707"/>
      <c r="B99" s="4710"/>
      <c r="C99" s="4722"/>
      <c r="D99" s="4720"/>
      <c r="E99" s="1249" t="s">
        <v>449</v>
      </c>
      <c r="F99" s="1244">
        <f t="shared" si="4"/>
        <v>180000</v>
      </c>
      <c r="G99" s="1244">
        <v>180000</v>
      </c>
      <c r="H99" s="1244"/>
      <c r="I99" s="1244"/>
      <c r="J99" s="1243"/>
      <c r="K99" s="1255"/>
      <c r="L99" s="1254"/>
    </row>
    <row r="100" spans="1:12" s="1240" customFormat="1" ht="15" customHeight="1">
      <c r="A100" s="4707"/>
      <c r="B100" s="4710"/>
      <c r="C100" s="4722"/>
      <c r="D100" s="4720"/>
      <c r="E100" s="1249" t="s">
        <v>532</v>
      </c>
      <c r="F100" s="1244">
        <f t="shared" si="4"/>
        <v>1275000</v>
      </c>
      <c r="G100" s="1244"/>
      <c r="H100" s="1244"/>
      <c r="I100" s="1244">
        <v>1275000</v>
      </c>
      <c r="J100" s="1243"/>
      <c r="K100" s="1255"/>
      <c r="L100" s="1254"/>
    </row>
    <row r="101" spans="1:12" s="1240" customFormat="1" ht="15" customHeight="1">
      <c r="A101" s="4707"/>
      <c r="B101" s="4710"/>
      <c r="C101" s="4722"/>
      <c r="D101" s="4720"/>
      <c r="E101" s="1249" t="s">
        <v>447</v>
      </c>
      <c r="F101" s="1244">
        <f t="shared" si="4"/>
        <v>225000</v>
      </c>
      <c r="G101" s="1244">
        <v>225000</v>
      </c>
      <c r="H101" s="1244"/>
      <c r="I101" s="1244"/>
      <c r="J101" s="1243"/>
      <c r="K101" s="1255"/>
      <c r="L101" s="1254"/>
    </row>
    <row r="102" spans="1:12" s="1240" customFormat="1" ht="15" customHeight="1">
      <c r="A102" s="4707"/>
      <c r="B102" s="4710"/>
      <c r="C102" s="4722"/>
      <c r="D102" s="4720"/>
      <c r="E102" s="1249" t="s">
        <v>530</v>
      </c>
      <c r="F102" s="1244">
        <f t="shared" si="4"/>
        <v>22950</v>
      </c>
      <c r="G102" s="1244"/>
      <c r="H102" s="1244"/>
      <c r="I102" s="1244">
        <v>22950</v>
      </c>
      <c r="J102" s="1243"/>
      <c r="K102" s="1255"/>
      <c r="L102" s="1254"/>
    </row>
    <row r="103" spans="1:12" s="1240" customFormat="1" ht="15" customHeight="1">
      <c r="A103" s="4707"/>
      <c r="B103" s="4710"/>
      <c r="C103" s="4722"/>
      <c r="D103" s="4720"/>
      <c r="E103" s="1249" t="s">
        <v>511</v>
      </c>
      <c r="F103" s="1244">
        <f t="shared" si="4"/>
        <v>4050</v>
      </c>
      <c r="G103" s="1244">
        <v>4050</v>
      </c>
      <c r="H103" s="1244"/>
      <c r="I103" s="1244"/>
      <c r="J103" s="1243"/>
      <c r="K103" s="1255"/>
      <c r="L103" s="1254"/>
    </row>
    <row r="104" spans="1:12" s="1240" customFormat="1" ht="15" customHeight="1">
      <c r="A104" s="4707"/>
      <c r="B104" s="4710"/>
      <c r="C104" s="4722"/>
      <c r="D104" s="4720"/>
      <c r="E104" s="1249" t="s">
        <v>529</v>
      </c>
      <c r="F104" s="1244">
        <f t="shared" si="4"/>
        <v>569160</v>
      </c>
      <c r="G104" s="1244"/>
      <c r="H104" s="1244"/>
      <c r="I104" s="1244">
        <v>569160</v>
      </c>
      <c r="J104" s="1243"/>
      <c r="K104" s="1255"/>
      <c r="L104" s="1254"/>
    </row>
    <row r="105" spans="1:12" s="1240" customFormat="1" ht="15" customHeight="1">
      <c r="A105" s="4707"/>
      <c r="B105" s="4710"/>
      <c r="C105" s="4722"/>
      <c r="D105" s="4720"/>
      <c r="E105" s="1249" t="s">
        <v>445</v>
      </c>
      <c r="F105" s="1244">
        <f t="shared" si="4"/>
        <v>100440</v>
      </c>
      <c r="G105" s="1244">
        <v>100440</v>
      </c>
      <c r="H105" s="1244"/>
      <c r="I105" s="1244"/>
      <c r="J105" s="1243"/>
      <c r="K105" s="1255"/>
      <c r="L105" s="1254"/>
    </row>
    <row r="106" spans="1:12" s="1240" customFormat="1" ht="15" customHeight="1">
      <c r="A106" s="4707"/>
      <c r="B106" s="4710"/>
      <c r="C106" s="4722"/>
      <c r="D106" s="4720"/>
      <c r="E106" s="1249" t="s">
        <v>527</v>
      </c>
      <c r="F106" s="1244">
        <f t="shared" si="4"/>
        <v>9350</v>
      </c>
      <c r="G106" s="1244"/>
      <c r="H106" s="1244"/>
      <c r="I106" s="1244">
        <v>9350</v>
      </c>
      <c r="J106" s="1243"/>
      <c r="K106" s="1255"/>
      <c r="L106" s="1254"/>
    </row>
    <row r="107" spans="1:12" s="1240" customFormat="1" ht="15" customHeight="1">
      <c r="A107" s="4707"/>
      <c r="B107" s="4710"/>
      <c r="C107" s="4722"/>
      <c r="D107" s="4720"/>
      <c r="E107" s="1249" t="s">
        <v>526</v>
      </c>
      <c r="F107" s="1244">
        <f t="shared" si="4"/>
        <v>1650</v>
      </c>
      <c r="G107" s="1244">
        <v>1650</v>
      </c>
      <c r="H107" s="1244"/>
      <c r="I107" s="1244"/>
      <c r="J107" s="1243"/>
      <c r="K107" s="1255"/>
      <c r="L107" s="1254"/>
    </row>
    <row r="108" spans="1:12" s="1240" customFormat="1" ht="15" customHeight="1">
      <c r="A108" s="4707"/>
      <c r="B108" s="4710"/>
      <c r="C108" s="4722"/>
      <c r="D108" s="4720"/>
      <c r="E108" s="1249" t="s">
        <v>591</v>
      </c>
      <c r="F108" s="1244">
        <f t="shared" si="4"/>
        <v>85000</v>
      </c>
      <c r="G108" s="1244"/>
      <c r="H108" s="1244"/>
      <c r="I108" s="1244">
        <v>85000</v>
      </c>
      <c r="J108" s="1243"/>
      <c r="K108" s="1255"/>
      <c r="L108" s="1254"/>
    </row>
    <row r="109" spans="1:12" s="1240" customFormat="1" ht="15" customHeight="1">
      <c r="A109" s="4707"/>
      <c r="B109" s="4710"/>
      <c r="C109" s="4722"/>
      <c r="D109" s="4720"/>
      <c r="E109" s="1249" t="s">
        <v>491</v>
      </c>
      <c r="F109" s="1244">
        <f t="shared" si="4"/>
        <v>15000</v>
      </c>
      <c r="G109" s="1244">
        <v>15000</v>
      </c>
      <c r="H109" s="1244"/>
      <c r="I109" s="1244"/>
      <c r="J109" s="1243"/>
      <c r="K109" s="1255"/>
      <c r="L109" s="1254"/>
    </row>
    <row r="110" spans="1:12" s="1240" customFormat="1" ht="15" customHeight="1">
      <c r="A110" s="4707"/>
      <c r="B110" s="4710"/>
      <c r="C110" s="4722"/>
      <c r="D110" s="4720"/>
      <c r="E110" s="1249" t="s">
        <v>524</v>
      </c>
      <c r="F110" s="1244">
        <f t="shared" si="4"/>
        <v>72250</v>
      </c>
      <c r="G110" s="1244"/>
      <c r="H110" s="1244"/>
      <c r="I110" s="1244">
        <v>72250</v>
      </c>
      <c r="J110" s="1243"/>
      <c r="K110" s="1255"/>
      <c r="L110" s="1254"/>
    </row>
    <row r="111" spans="1:12" s="1240" customFormat="1" ht="15" customHeight="1">
      <c r="A111" s="4707"/>
      <c r="B111" s="4710"/>
      <c r="C111" s="4722"/>
      <c r="D111" s="4720"/>
      <c r="E111" s="1249" t="s">
        <v>466</v>
      </c>
      <c r="F111" s="1244">
        <f t="shared" si="4"/>
        <v>12750</v>
      </c>
      <c r="G111" s="1244">
        <v>12750</v>
      </c>
      <c r="H111" s="1244"/>
      <c r="I111" s="1244"/>
      <c r="J111" s="1243"/>
      <c r="K111" s="1255"/>
      <c r="L111" s="1254"/>
    </row>
    <row r="112" spans="1:12" s="1240" customFormat="1" ht="15" customHeight="1">
      <c r="A112" s="4707"/>
      <c r="B112" s="4710"/>
      <c r="C112" s="4722"/>
      <c r="D112" s="4720"/>
      <c r="E112" s="1249" t="s">
        <v>575</v>
      </c>
      <c r="F112" s="1244">
        <f t="shared" si="4"/>
        <v>59500</v>
      </c>
      <c r="G112" s="1244"/>
      <c r="H112" s="1244"/>
      <c r="I112" s="1244">
        <v>59500</v>
      </c>
      <c r="J112" s="1243"/>
      <c r="K112" s="1255"/>
      <c r="L112" s="1254"/>
    </row>
    <row r="113" spans="1:12" s="1240" customFormat="1" ht="15" customHeight="1">
      <c r="A113" s="4707"/>
      <c r="B113" s="4710"/>
      <c r="C113" s="4722"/>
      <c r="D113" s="4720"/>
      <c r="E113" s="1249" t="s">
        <v>574</v>
      </c>
      <c r="F113" s="1244">
        <f t="shared" si="4"/>
        <v>10500</v>
      </c>
      <c r="G113" s="1244">
        <v>10500</v>
      </c>
      <c r="H113" s="1244"/>
      <c r="I113" s="1244"/>
      <c r="J113" s="1243"/>
      <c r="K113" s="1255"/>
      <c r="L113" s="1254"/>
    </row>
    <row r="114" spans="1:12" s="1240" customFormat="1" ht="15" customHeight="1">
      <c r="A114" s="4707"/>
      <c r="B114" s="4710"/>
      <c r="C114" s="4722"/>
      <c r="D114" s="4720"/>
      <c r="E114" s="1249" t="s">
        <v>521</v>
      </c>
      <c r="F114" s="1244">
        <f t="shared" si="4"/>
        <v>51000</v>
      </c>
      <c r="G114" s="1244"/>
      <c r="H114" s="1244"/>
      <c r="I114" s="1244">
        <v>51000</v>
      </c>
      <c r="J114" s="1243"/>
      <c r="K114" s="1255"/>
      <c r="L114" s="1254"/>
    </row>
    <row r="115" spans="1:12" s="1240" customFormat="1" ht="15" customHeight="1">
      <c r="A115" s="4707"/>
      <c r="B115" s="4710"/>
      <c r="C115" s="4722"/>
      <c r="D115" s="4720"/>
      <c r="E115" s="1249" t="s">
        <v>487</v>
      </c>
      <c r="F115" s="1244">
        <f t="shared" si="4"/>
        <v>9000</v>
      </c>
      <c r="G115" s="1244">
        <v>9000</v>
      </c>
      <c r="H115" s="1244"/>
      <c r="I115" s="1244"/>
      <c r="J115" s="1243"/>
      <c r="K115" s="1255"/>
      <c r="L115" s="1254"/>
    </row>
    <row r="116" spans="1:12" s="1240" customFormat="1" ht="15" customHeight="1">
      <c r="A116" s="4707"/>
      <c r="B116" s="4710"/>
      <c r="C116" s="4722"/>
      <c r="D116" s="4720"/>
      <c r="E116" s="1249" t="s">
        <v>520</v>
      </c>
      <c r="F116" s="1244">
        <f t="shared" si="4"/>
        <v>110500</v>
      </c>
      <c r="G116" s="1244"/>
      <c r="H116" s="1244"/>
      <c r="I116" s="1244">
        <v>110500</v>
      </c>
      <c r="J116" s="1243"/>
      <c r="K116" s="1255"/>
      <c r="L116" s="1254"/>
    </row>
    <row r="117" spans="1:12" s="1240" customFormat="1" ht="15" customHeight="1">
      <c r="A117" s="4707"/>
      <c r="B117" s="4710"/>
      <c r="C117" s="4722"/>
      <c r="D117" s="4720"/>
      <c r="E117" s="1249" t="s">
        <v>507</v>
      </c>
      <c r="F117" s="1244">
        <f t="shared" si="4"/>
        <v>19500</v>
      </c>
      <c r="G117" s="1244">
        <v>19500</v>
      </c>
      <c r="H117" s="1244"/>
      <c r="I117" s="1244"/>
      <c r="J117" s="1243"/>
      <c r="K117" s="1255"/>
      <c r="L117" s="1254"/>
    </row>
    <row r="118" spans="1:12" s="1240" customFormat="1" ht="15" customHeight="1">
      <c r="A118" s="4707"/>
      <c r="B118" s="4710"/>
      <c r="C118" s="4722"/>
      <c r="D118" s="4720"/>
      <c r="E118" s="1249" t="s">
        <v>519</v>
      </c>
      <c r="F118" s="1244">
        <f t="shared" si="4"/>
        <v>178500</v>
      </c>
      <c r="G118" s="1244"/>
      <c r="H118" s="1244"/>
      <c r="I118" s="1244">
        <v>178500</v>
      </c>
      <c r="J118" s="1243"/>
      <c r="K118" s="1255"/>
      <c r="L118" s="1254"/>
    </row>
    <row r="119" spans="1:12" s="1240" customFormat="1" ht="15" customHeight="1">
      <c r="A119" s="4707"/>
      <c r="B119" s="4710"/>
      <c r="C119" s="4722"/>
      <c r="D119" s="4720"/>
      <c r="E119" s="1249" t="s">
        <v>485</v>
      </c>
      <c r="F119" s="1244">
        <f t="shared" si="4"/>
        <v>31500</v>
      </c>
      <c r="G119" s="1244">
        <v>31500</v>
      </c>
      <c r="H119" s="1244"/>
      <c r="I119" s="1244"/>
      <c r="J119" s="1243"/>
      <c r="K119" s="1255"/>
      <c r="L119" s="1254"/>
    </row>
    <row r="120" spans="1:12" s="1240" customFormat="1" ht="12">
      <c r="A120" s="4708"/>
      <c r="B120" s="4711"/>
      <c r="C120" s="4696"/>
      <c r="D120" s="4719"/>
      <c r="E120" s="1239" t="s">
        <v>423</v>
      </c>
      <c r="F120" s="1238">
        <f>SUM(F121:F122)</f>
        <v>0</v>
      </c>
      <c r="G120" s="1238">
        <f>SUM(G121:G122)</f>
        <v>0</v>
      </c>
      <c r="H120" s="1238">
        <f>SUM(H121:H122)</f>
        <v>0</v>
      </c>
      <c r="I120" s="1238">
        <f>SUM(I121:I122)</f>
        <v>0</v>
      </c>
      <c r="J120" s="1237">
        <f>SUM(J121:J122)</f>
        <v>0</v>
      </c>
      <c r="K120" s="1255"/>
      <c r="L120" s="1254"/>
    </row>
    <row r="121" spans="1:12" s="1240" customFormat="1" ht="15" hidden="1" customHeight="1">
      <c r="A121" s="1235"/>
      <c r="B121" s="1234"/>
      <c r="C121" s="1233"/>
      <c r="D121" s="1232"/>
      <c r="E121" s="1236" t="s">
        <v>500</v>
      </c>
      <c r="F121" s="1230">
        <f>SUM(G121:J121)</f>
        <v>0</v>
      </c>
      <c r="G121" s="1230"/>
      <c r="H121" s="1230"/>
      <c r="I121" s="1230"/>
      <c r="J121" s="1229"/>
      <c r="K121" s="1255"/>
      <c r="L121" s="1254"/>
    </row>
    <row r="122" spans="1:12" s="1240" customFormat="1" ht="15" hidden="1" customHeight="1">
      <c r="A122" s="1235"/>
      <c r="B122" s="1234"/>
      <c r="C122" s="1233"/>
      <c r="D122" s="1232"/>
      <c r="E122" s="1231">
        <v>6069</v>
      </c>
      <c r="F122" s="1230">
        <f>SUM(G122:J122)</f>
        <v>0</v>
      </c>
      <c r="G122" s="1230"/>
      <c r="H122" s="1230"/>
      <c r="I122" s="1230"/>
      <c r="J122" s="1229"/>
      <c r="K122" s="1255"/>
      <c r="L122" s="1254"/>
    </row>
    <row r="123" spans="1:12" s="1240" customFormat="1" ht="22.5">
      <c r="A123" s="4692" t="s">
        <v>629</v>
      </c>
      <c r="B123" s="4693" t="s">
        <v>628</v>
      </c>
      <c r="C123" s="4694">
        <v>750</v>
      </c>
      <c r="D123" s="4705" t="s">
        <v>571</v>
      </c>
      <c r="E123" s="1253" t="s">
        <v>435</v>
      </c>
      <c r="F123" s="1252">
        <f>SUM(F124,F133)</f>
        <v>350000</v>
      </c>
      <c r="G123" s="1252">
        <f>SUM(G124,G133)</f>
        <v>52500</v>
      </c>
      <c r="H123" s="1252">
        <f>SUM(H124,H133)</f>
        <v>0</v>
      </c>
      <c r="I123" s="1252">
        <f>SUM(I124,I133)</f>
        <v>297500</v>
      </c>
      <c r="J123" s="1251">
        <f>SUM(J124,J133)</f>
        <v>0</v>
      </c>
      <c r="K123" s="1255"/>
      <c r="L123" s="1254"/>
    </row>
    <row r="124" spans="1:12" s="1240" customFormat="1" ht="21">
      <c r="A124" s="4692"/>
      <c r="B124" s="4693"/>
      <c r="C124" s="4694"/>
      <c r="D124" s="4705"/>
      <c r="E124" s="1250" t="s">
        <v>434</v>
      </c>
      <c r="F124" s="1238">
        <f>SUM(F125,F128)</f>
        <v>350000</v>
      </c>
      <c r="G124" s="1238">
        <f>SUM(G125,G128)</f>
        <v>52500</v>
      </c>
      <c r="H124" s="1238">
        <f>SUM(H125,H128)</f>
        <v>0</v>
      </c>
      <c r="I124" s="1238">
        <f>SUM(I125,I128)</f>
        <v>297500</v>
      </c>
      <c r="J124" s="1237">
        <f>SUM(J125,J128)</f>
        <v>0</v>
      </c>
      <c r="K124" s="1255"/>
      <c r="L124" s="1254"/>
    </row>
    <row r="125" spans="1:12" s="1240" customFormat="1" ht="22.5">
      <c r="A125" s="4692"/>
      <c r="B125" s="4693"/>
      <c r="C125" s="4694"/>
      <c r="D125" s="4705"/>
      <c r="E125" s="1248" t="s">
        <v>432</v>
      </c>
      <c r="F125" s="1247">
        <f>SUM(F126:F127)</f>
        <v>45000</v>
      </c>
      <c r="G125" s="1247">
        <f>SUM(G126:G127)</f>
        <v>6750</v>
      </c>
      <c r="H125" s="1247">
        <f>SUM(H126:H127)</f>
        <v>0</v>
      </c>
      <c r="I125" s="1247">
        <f>SUM(I126:I127)</f>
        <v>38250</v>
      </c>
      <c r="J125" s="1246">
        <f>SUM(J126:J127)</f>
        <v>0</v>
      </c>
      <c r="K125" s="1272"/>
      <c r="L125" s="1254"/>
    </row>
    <row r="126" spans="1:12" s="1240" customFormat="1" ht="15" customHeight="1">
      <c r="A126" s="4692"/>
      <c r="B126" s="4693"/>
      <c r="C126" s="4694"/>
      <c r="D126" s="4705"/>
      <c r="E126" s="1249" t="s">
        <v>535</v>
      </c>
      <c r="F126" s="1244">
        <f>SUM(G126:J126)</f>
        <v>38250</v>
      </c>
      <c r="G126" s="1244"/>
      <c r="H126" s="1244"/>
      <c r="I126" s="1244">
        <v>38250</v>
      </c>
      <c r="J126" s="1243"/>
      <c r="K126" s="1255"/>
      <c r="L126" s="1254"/>
    </row>
    <row r="127" spans="1:12" s="1240" customFormat="1" ht="15" customHeight="1">
      <c r="A127" s="4692"/>
      <c r="B127" s="4693"/>
      <c r="C127" s="4694"/>
      <c r="D127" s="4705"/>
      <c r="E127" s="1249" t="s">
        <v>455</v>
      </c>
      <c r="F127" s="1244">
        <f>SUM(G127:J127)</f>
        <v>6750</v>
      </c>
      <c r="G127" s="1244">
        <v>6750</v>
      </c>
      <c r="H127" s="1244"/>
      <c r="I127" s="1244"/>
      <c r="J127" s="1243"/>
      <c r="K127" s="1255"/>
      <c r="L127" s="1254"/>
    </row>
    <row r="128" spans="1:12" s="1240" customFormat="1" ht="22.5">
      <c r="A128" s="4692"/>
      <c r="B128" s="4693"/>
      <c r="C128" s="4694"/>
      <c r="D128" s="4705"/>
      <c r="E128" s="1248" t="s">
        <v>427</v>
      </c>
      <c r="F128" s="1247">
        <f>SUM(F129:F132)</f>
        <v>305000</v>
      </c>
      <c r="G128" s="1247">
        <f>SUM(G129:G132)</f>
        <v>45750</v>
      </c>
      <c r="H128" s="1247">
        <f>SUM(H129:H132)</f>
        <v>0</v>
      </c>
      <c r="I128" s="1247">
        <f>SUM(I129:I132)</f>
        <v>259250</v>
      </c>
      <c r="J128" s="1246">
        <f>SUM(J129:J132)</f>
        <v>0</v>
      </c>
      <c r="K128" s="1255"/>
      <c r="L128" s="1254"/>
    </row>
    <row r="129" spans="1:15" s="1240" customFormat="1" ht="15" customHeight="1">
      <c r="A129" s="4692"/>
      <c r="B129" s="4693"/>
      <c r="C129" s="4694"/>
      <c r="D129" s="4705"/>
      <c r="E129" s="1249" t="s">
        <v>529</v>
      </c>
      <c r="F129" s="1244">
        <f>SUM(G129:J129)</f>
        <v>78910</v>
      </c>
      <c r="G129" s="1244"/>
      <c r="H129" s="1244"/>
      <c r="I129" s="1244">
        <v>78910</v>
      </c>
      <c r="J129" s="1243"/>
      <c r="K129" s="1255"/>
      <c r="L129" s="1254"/>
    </row>
    <row r="130" spans="1:15" s="1240" customFormat="1" ht="15" customHeight="1">
      <c r="A130" s="4692"/>
      <c r="B130" s="4693"/>
      <c r="C130" s="4694"/>
      <c r="D130" s="4705"/>
      <c r="E130" s="1249" t="s">
        <v>445</v>
      </c>
      <c r="F130" s="1244">
        <f>SUM(G130:J130)</f>
        <v>13925</v>
      </c>
      <c r="G130" s="1244">
        <v>13925</v>
      </c>
      <c r="H130" s="1244"/>
      <c r="I130" s="1244"/>
      <c r="J130" s="1243"/>
      <c r="K130" s="1255"/>
      <c r="L130" s="1254"/>
    </row>
    <row r="131" spans="1:15" s="1240" customFormat="1" ht="15" customHeight="1">
      <c r="A131" s="4692"/>
      <c r="B131" s="4693"/>
      <c r="C131" s="4694"/>
      <c r="D131" s="4705"/>
      <c r="E131" s="1249" t="s">
        <v>591</v>
      </c>
      <c r="F131" s="1244">
        <f>SUM(G131:J131)</f>
        <v>180340</v>
      </c>
      <c r="G131" s="1244"/>
      <c r="H131" s="1244"/>
      <c r="I131" s="1244">
        <v>180340</v>
      </c>
      <c r="J131" s="1243"/>
      <c r="K131" s="1255"/>
      <c r="L131" s="1254"/>
    </row>
    <row r="132" spans="1:15" s="1240" customFormat="1" ht="15" customHeight="1">
      <c r="A132" s="4692"/>
      <c r="B132" s="4693"/>
      <c r="C132" s="4694"/>
      <c r="D132" s="4705"/>
      <c r="E132" s="1249" t="s">
        <v>491</v>
      </c>
      <c r="F132" s="1244">
        <f>SUM(G132:J132)</f>
        <v>31825</v>
      </c>
      <c r="G132" s="1244">
        <v>31825</v>
      </c>
      <c r="H132" s="1244"/>
      <c r="I132" s="1244"/>
      <c r="J132" s="1243"/>
      <c r="K132" s="1255"/>
      <c r="L132" s="1254"/>
    </row>
    <row r="133" spans="1:15" s="1240" customFormat="1" ht="15" customHeight="1">
      <c r="A133" s="4692"/>
      <c r="B133" s="4693"/>
      <c r="C133" s="4694"/>
      <c r="D133" s="4705"/>
      <c r="E133" s="1239" t="s">
        <v>423</v>
      </c>
      <c r="F133" s="1238">
        <f>SUM(F134:F135)</f>
        <v>0</v>
      </c>
      <c r="G133" s="1238">
        <f>SUM(G134:G135)</f>
        <v>0</v>
      </c>
      <c r="H133" s="1238">
        <f>SUM(H134:H135)</f>
        <v>0</v>
      </c>
      <c r="I133" s="1238">
        <f>SUM(I134:I135)</f>
        <v>0</v>
      </c>
      <c r="J133" s="1237">
        <f>SUM(J134:J135)</f>
        <v>0</v>
      </c>
      <c r="K133" s="1255"/>
      <c r="L133" s="1254"/>
    </row>
    <row r="134" spans="1:15" s="1240" customFormat="1" ht="15" hidden="1" customHeight="1">
      <c r="A134" s="4692"/>
      <c r="B134" s="4693"/>
      <c r="C134" s="4694"/>
      <c r="D134" s="4705"/>
      <c r="E134" s="1249"/>
      <c r="F134" s="1244">
        <f>SUM(G134:J134)</f>
        <v>0</v>
      </c>
      <c r="G134" s="1244"/>
      <c r="H134" s="1244"/>
      <c r="I134" s="1244"/>
      <c r="J134" s="1243"/>
      <c r="K134" s="1255"/>
      <c r="L134" s="1254"/>
    </row>
    <row r="135" spans="1:15" s="1240" customFormat="1" ht="15" hidden="1" customHeight="1">
      <c r="A135" s="4692"/>
      <c r="B135" s="4693"/>
      <c r="C135" s="4694"/>
      <c r="D135" s="4705"/>
      <c r="E135" s="1281"/>
      <c r="F135" s="1244">
        <f>SUM(G135:J135)</f>
        <v>0</v>
      </c>
      <c r="G135" s="1244"/>
      <c r="H135" s="1244"/>
      <c r="I135" s="1244"/>
      <c r="J135" s="1243"/>
      <c r="K135" s="1255"/>
      <c r="L135" s="1254"/>
    </row>
    <row r="136" spans="1:15" s="1240" customFormat="1" ht="22.5">
      <c r="A136" s="4706" t="s">
        <v>627</v>
      </c>
      <c r="B136" s="4709" t="s">
        <v>626</v>
      </c>
      <c r="C136" s="4695">
        <v>750</v>
      </c>
      <c r="D136" s="4718" t="s">
        <v>482</v>
      </c>
      <c r="E136" s="1253" t="s">
        <v>435</v>
      </c>
      <c r="F136" s="1252">
        <f>SUM(F137,F147)</f>
        <v>4316980</v>
      </c>
      <c r="G136" s="1252">
        <f>SUM(G137,G147)</f>
        <v>647547</v>
      </c>
      <c r="H136" s="1252">
        <f>SUM(H137,H147)</f>
        <v>0</v>
      </c>
      <c r="I136" s="1252">
        <f>SUM(I137,I147)</f>
        <v>3669433</v>
      </c>
      <c r="J136" s="1251">
        <f>SUM(J137,J147)</f>
        <v>0</v>
      </c>
      <c r="K136" s="1306"/>
      <c r="L136" s="1306"/>
      <c r="M136" s="1306"/>
      <c r="N136" s="1306"/>
      <c r="O136" s="1306"/>
    </row>
    <row r="137" spans="1:15" s="1240" customFormat="1" ht="21">
      <c r="A137" s="4707"/>
      <c r="B137" s="4710"/>
      <c r="C137" s="4722"/>
      <c r="D137" s="4720"/>
      <c r="E137" s="1250" t="s">
        <v>434</v>
      </c>
      <c r="F137" s="1238">
        <f>SUM(F138,F142)</f>
        <v>3140509</v>
      </c>
      <c r="G137" s="1238">
        <f>SUM(G138,G142)</f>
        <v>471076</v>
      </c>
      <c r="H137" s="1238">
        <f>SUM(H138,H142)</f>
        <v>0</v>
      </c>
      <c r="I137" s="1238">
        <f>SUM(I138,I142)</f>
        <v>2669433</v>
      </c>
      <c r="J137" s="1237">
        <f>SUM(J138,J142)</f>
        <v>0</v>
      </c>
      <c r="K137" s="1276"/>
      <c r="L137" s="1276"/>
      <c r="M137" s="1276"/>
      <c r="N137" s="1276"/>
      <c r="O137" s="1276"/>
    </row>
    <row r="138" spans="1:15" s="1240" customFormat="1" ht="22.5" hidden="1">
      <c r="A138" s="4707"/>
      <c r="B138" s="4710"/>
      <c r="C138" s="4722"/>
      <c r="D138" s="4720"/>
      <c r="E138" s="1248" t="s">
        <v>432</v>
      </c>
      <c r="F138" s="1247">
        <f>SUM(F139:F141)</f>
        <v>0</v>
      </c>
      <c r="G138" s="1247">
        <f>SUM(G139:G141)</f>
        <v>0</v>
      </c>
      <c r="H138" s="1247">
        <f>SUM(H139:H141)</f>
        <v>0</v>
      </c>
      <c r="I138" s="1247">
        <f>SUM(I139:I141)</f>
        <v>0</v>
      </c>
      <c r="J138" s="1246">
        <f>SUM(J139:J141)</f>
        <v>0</v>
      </c>
      <c r="K138" s="1242"/>
      <c r="L138" s="1241"/>
      <c r="M138" s="1256"/>
      <c r="N138" s="1256"/>
      <c r="O138" s="1256"/>
    </row>
    <row r="139" spans="1:15" s="1240" customFormat="1" ht="15" hidden="1" customHeight="1">
      <c r="A139" s="4707"/>
      <c r="B139" s="4710"/>
      <c r="C139" s="4722"/>
      <c r="D139" s="4720"/>
      <c r="E139" s="1249" t="s">
        <v>535</v>
      </c>
      <c r="F139" s="1244">
        <f>SUM(G139:J139)</f>
        <v>0</v>
      </c>
      <c r="G139" s="1244"/>
      <c r="H139" s="1244"/>
      <c r="I139" s="1244"/>
      <c r="J139" s="1243"/>
      <c r="K139" s="1242"/>
      <c r="L139" s="1241"/>
      <c r="M139" s="1256"/>
      <c r="N139" s="1256"/>
      <c r="O139" s="1256"/>
    </row>
    <row r="140" spans="1:15" s="1240" customFormat="1" ht="15" hidden="1" customHeight="1">
      <c r="A140" s="4707"/>
      <c r="B140" s="4710"/>
      <c r="C140" s="4722"/>
      <c r="D140" s="4720"/>
      <c r="E140" s="1249" t="s">
        <v>455</v>
      </c>
      <c r="F140" s="1244">
        <f>SUM(G140:J140)</f>
        <v>0</v>
      </c>
      <c r="G140" s="1244"/>
      <c r="H140" s="1244"/>
      <c r="I140" s="1244"/>
      <c r="J140" s="1243"/>
      <c r="K140" s="1242"/>
      <c r="L140" s="1241"/>
      <c r="M140" s="1256"/>
      <c r="N140" s="1256"/>
      <c r="O140" s="1256"/>
    </row>
    <row r="141" spans="1:15" s="1240" customFormat="1" ht="15" hidden="1" customHeight="1">
      <c r="A141" s="4707"/>
      <c r="B141" s="4710"/>
      <c r="C141" s="4722"/>
      <c r="D141" s="4720"/>
      <c r="E141" s="1249"/>
      <c r="F141" s="1244">
        <f>SUM(G141:J141)</f>
        <v>0</v>
      </c>
      <c r="G141" s="1244"/>
      <c r="H141" s="1244"/>
      <c r="I141" s="1244"/>
      <c r="J141" s="1243"/>
      <c r="K141" s="1242"/>
      <c r="L141" s="1241"/>
      <c r="M141" s="1256"/>
      <c r="N141" s="1256"/>
      <c r="O141" s="1256"/>
    </row>
    <row r="142" spans="1:15" s="1240" customFormat="1" ht="22.5">
      <c r="A142" s="4707"/>
      <c r="B142" s="4710"/>
      <c r="C142" s="4722"/>
      <c r="D142" s="4720"/>
      <c r="E142" s="1248" t="s">
        <v>427</v>
      </c>
      <c r="F142" s="1247">
        <f>SUM(F143:F146)</f>
        <v>3140509</v>
      </c>
      <c r="G142" s="1247">
        <f>SUM(G143:G146)</f>
        <v>471076</v>
      </c>
      <c r="H142" s="1247">
        <f>SUM(H143:H146)</f>
        <v>0</v>
      </c>
      <c r="I142" s="1247">
        <f>SUM(I143:I146)</f>
        <v>2669433</v>
      </c>
      <c r="J142" s="1246">
        <f>SUM(J143:J146)</f>
        <v>0</v>
      </c>
      <c r="K142" s="1276"/>
      <c r="L142" s="1276"/>
      <c r="M142" s="1276"/>
      <c r="N142" s="1276"/>
      <c r="O142" s="1276"/>
    </row>
    <row r="143" spans="1:15" s="1240" customFormat="1" ht="15" customHeight="1">
      <c r="A143" s="4707"/>
      <c r="B143" s="4710"/>
      <c r="C143" s="4722"/>
      <c r="D143" s="4720"/>
      <c r="E143" s="1249" t="s">
        <v>529</v>
      </c>
      <c r="F143" s="1244">
        <f>SUM(G143:J143)</f>
        <v>2669433</v>
      </c>
      <c r="G143" s="1244"/>
      <c r="H143" s="1244"/>
      <c r="I143" s="1244">
        <v>2669433</v>
      </c>
      <c r="J143" s="1243"/>
      <c r="K143" s="1255"/>
      <c r="L143" s="1254"/>
    </row>
    <row r="144" spans="1:15" s="1240" customFormat="1" ht="15" customHeight="1">
      <c r="A144" s="4707"/>
      <c r="B144" s="4710"/>
      <c r="C144" s="4722"/>
      <c r="D144" s="4720"/>
      <c r="E144" s="1249" t="s">
        <v>445</v>
      </c>
      <c r="F144" s="1244">
        <f>SUM(G144:J144)</f>
        <v>471076</v>
      </c>
      <c r="G144" s="1244">
        <v>471076</v>
      </c>
      <c r="H144" s="1244"/>
      <c r="I144" s="1244"/>
      <c r="J144" s="1243"/>
      <c r="K144" s="1255"/>
      <c r="L144" s="1254"/>
    </row>
    <row r="145" spans="1:12" s="1240" customFormat="1" ht="15" hidden="1" customHeight="1">
      <c r="A145" s="4707"/>
      <c r="B145" s="4710"/>
      <c r="C145" s="4722"/>
      <c r="D145" s="4720"/>
      <c r="E145" s="1249" t="s">
        <v>591</v>
      </c>
      <c r="F145" s="1244">
        <f>SUM(G145:J145)</f>
        <v>0</v>
      </c>
      <c r="G145" s="1244"/>
      <c r="H145" s="1244"/>
      <c r="I145" s="1244"/>
      <c r="J145" s="1243"/>
      <c r="K145" s="1255"/>
      <c r="L145" s="1254"/>
    </row>
    <row r="146" spans="1:12" s="1240" customFormat="1" ht="15" hidden="1" customHeight="1">
      <c r="A146" s="4707"/>
      <c r="B146" s="4710"/>
      <c r="C146" s="4722"/>
      <c r="D146" s="4720"/>
      <c r="E146" s="1249" t="s">
        <v>491</v>
      </c>
      <c r="F146" s="1244">
        <f>SUM(G146:J146)</f>
        <v>0</v>
      </c>
      <c r="G146" s="1244"/>
      <c r="H146" s="1244"/>
      <c r="I146" s="1244"/>
      <c r="J146" s="1243"/>
      <c r="K146" s="1255"/>
      <c r="L146" s="1254"/>
    </row>
    <row r="147" spans="1:12" s="1240" customFormat="1" ht="15" customHeight="1">
      <c r="A147" s="4707"/>
      <c r="B147" s="4710"/>
      <c r="C147" s="4722"/>
      <c r="D147" s="4720"/>
      <c r="E147" s="1239" t="s">
        <v>423</v>
      </c>
      <c r="F147" s="1238">
        <f>SUM(F148:F149)</f>
        <v>1176471</v>
      </c>
      <c r="G147" s="1238">
        <f>SUM(G148:G149)</f>
        <v>176471</v>
      </c>
      <c r="H147" s="1238">
        <f>SUM(H148:H149)</f>
        <v>0</v>
      </c>
      <c r="I147" s="1238">
        <f>SUM(I148:I149)</f>
        <v>1000000</v>
      </c>
      <c r="J147" s="1237">
        <f>SUM(J148:J149)</f>
        <v>0</v>
      </c>
      <c r="K147" s="1255"/>
      <c r="L147" s="1254"/>
    </row>
    <row r="148" spans="1:12" s="1240" customFormat="1" ht="15" customHeight="1">
      <c r="A148" s="4707"/>
      <c r="B148" s="4710"/>
      <c r="C148" s="4722"/>
      <c r="D148" s="4720"/>
      <c r="E148" s="1249" t="s">
        <v>625</v>
      </c>
      <c r="F148" s="1244">
        <f>SUM(G148:J148)</f>
        <v>1000000</v>
      </c>
      <c r="G148" s="1244"/>
      <c r="H148" s="1244"/>
      <c r="I148" s="1244">
        <v>1000000</v>
      </c>
      <c r="J148" s="1243"/>
      <c r="K148" s="1255"/>
      <c r="L148" s="1254"/>
    </row>
    <row r="149" spans="1:12" s="1240" customFormat="1" ht="15" customHeight="1">
      <c r="A149" s="4708"/>
      <c r="B149" s="4711"/>
      <c r="C149" s="4696"/>
      <c r="D149" s="4719"/>
      <c r="E149" s="1249" t="s">
        <v>505</v>
      </c>
      <c r="F149" s="1244">
        <f>SUM(G149:J149)</f>
        <v>176471</v>
      </c>
      <c r="G149" s="1244">
        <v>176471</v>
      </c>
      <c r="H149" s="1244"/>
      <c r="I149" s="1244"/>
      <c r="J149" s="1243"/>
      <c r="K149" s="1255"/>
      <c r="L149" s="1254"/>
    </row>
    <row r="150" spans="1:12" s="1240" customFormat="1" ht="22.5" customHeight="1">
      <c r="A150" s="4706" t="s">
        <v>624</v>
      </c>
      <c r="B150" s="4709" t="s">
        <v>623</v>
      </c>
      <c r="C150" s="4695">
        <v>750</v>
      </c>
      <c r="D150" s="4718" t="s">
        <v>571</v>
      </c>
      <c r="E150" s="1253" t="s">
        <v>435</v>
      </c>
      <c r="F150" s="1252">
        <f>SUM(F151,F164)</f>
        <v>15683020</v>
      </c>
      <c r="G150" s="1252">
        <f>SUM(G151,G164)</f>
        <v>2352453</v>
      </c>
      <c r="H150" s="1252">
        <f>SUM(H151,H164)</f>
        <v>0</v>
      </c>
      <c r="I150" s="1252">
        <f>SUM(I151,I164)</f>
        <v>13330567</v>
      </c>
      <c r="J150" s="1251">
        <f>SUM(J151,J164)</f>
        <v>0</v>
      </c>
      <c r="K150" s="1255"/>
      <c r="L150" s="1254"/>
    </row>
    <row r="151" spans="1:12" s="1240" customFormat="1" ht="21">
      <c r="A151" s="4707"/>
      <c r="B151" s="4710"/>
      <c r="C151" s="4722"/>
      <c r="D151" s="4720"/>
      <c r="E151" s="1250" t="s">
        <v>434</v>
      </c>
      <c r="F151" s="1238">
        <f>SUM(F152,F161)</f>
        <v>15683020</v>
      </c>
      <c r="G151" s="1238">
        <f>SUM(G152,G161)</f>
        <v>2352453</v>
      </c>
      <c r="H151" s="1238">
        <f>SUM(H152,H161)</f>
        <v>0</v>
      </c>
      <c r="I151" s="1238">
        <f>SUM(I152,I161)</f>
        <v>13330567</v>
      </c>
      <c r="J151" s="1237">
        <f>SUM(J152,J161)</f>
        <v>0</v>
      </c>
      <c r="K151" s="1255"/>
      <c r="L151" s="1254"/>
    </row>
    <row r="152" spans="1:12" s="1240" customFormat="1" ht="22.5">
      <c r="A152" s="4707"/>
      <c r="B152" s="4710"/>
      <c r="C152" s="4722"/>
      <c r="D152" s="4720"/>
      <c r="E152" s="1248" t="s">
        <v>432</v>
      </c>
      <c r="F152" s="1247">
        <f>SUM(F153:F160)</f>
        <v>15683020</v>
      </c>
      <c r="G152" s="1247">
        <f>SUM(G153:G160)</f>
        <v>2352453</v>
      </c>
      <c r="H152" s="1247">
        <f>SUM(H153:H160)</f>
        <v>0</v>
      </c>
      <c r="I152" s="1247">
        <f>SUM(I153:I160)</f>
        <v>13330567</v>
      </c>
      <c r="J152" s="1246">
        <f>SUM(J153:J160)</f>
        <v>0</v>
      </c>
      <c r="K152" s="1255"/>
      <c r="L152" s="1254"/>
    </row>
    <row r="153" spans="1:12" s="1240" customFormat="1" ht="15" customHeight="1">
      <c r="A153" s="4707"/>
      <c r="B153" s="4710"/>
      <c r="C153" s="4722"/>
      <c r="D153" s="4720"/>
      <c r="E153" s="1249" t="s">
        <v>479</v>
      </c>
      <c r="F153" s="1244">
        <f t="shared" ref="F153:F160" si="5">SUM(G153:J153)</f>
        <v>11077421</v>
      </c>
      <c r="G153" s="1244"/>
      <c r="H153" s="1244"/>
      <c r="I153" s="1244">
        <v>11077421</v>
      </c>
      <c r="J153" s="1243"/>
      <c r="K153" s="1255"/>
      <c r="L153" s="1254"/>
    </row>
    <row r="154" spans="1:12" s="1240" customFormat="1" ht="15" customHeight="1">
      <c r="A154" s="4707"/>
      <c r="B154" s="4710"/>
      <c r="C154" s="4722"/>
      <c r="D154" s="4720"/>
      <c r="E154" s="1249" t="s">
        <v>461</v>
      </c>
      <c r="F154" s="1244">
        <f t="shared" si="5"/>
        <v>1954839</v>
      </c>
      <c r="G154" s="1244">
        <v>1954839</v>
      </c>
      <c r="H154" s="1244"/>
      <c r="I154" s="1244"/>
      <c r="J154" s="1243"/>
      <c r="K154" s="1255"/>
      <c r="L154" s="1254"/>
    </row>
    <row r="155" spans="1:12" s="1240" customFormat="1" ht="15" customHeight="1">
      <c r="A155" s="4707"/>
      <c r="B155" s="4710"/>
      <c r="C155" s="4722"/>
      <c r="D155" s="4720"/>
      <c r="E155" s="1249" t="s">
        <v>478</v>
      </c>
      <c r="F155" s="1244">
        <f t="shared" si="5"/>
        <v>1904204</v>
      </c>
      <c r="G155" s="1244"/>
      <c r="H155" s="1244"/>
      <c r="I155" s="1244">
        <v>1904204</v>
      </c>
      <c r="J155" s="1243"/>
      <c r="K155" s="1255"/>
      <c r="L155" s="1254"/>
    </row>
    <row r="156" spans="1:12" s="1240" customFormat="1" ht="15" customHeight="1">
      <c r="A156" s="4707"/>
      <c r="B156" s="4710"/>
      <c r="C156" s="4722"/>
      <c r="D156" s="4720"/>
      <c r="E156" s="1249" t="s">
        <v>459</v>
      </c>
      <c r="F156" s="1244">
        <f t="shared" si="5"/>
        <v>336036</v>
      </c>
      <c r="G156" s="1244">
        <v>336036</v>
      </c>
      <c r="H156" s="1244"/>
      <c r="I156" s="1244"/>
      <c r="J156" s="1243"/>
      <c r="K156" s="1255"/>
      <c r="L156" s="1254"/>
    </row>
    <row r="157" spans="1:12" s="1240" customFormat="1" ht="15" customHeight="1">
      <c r="A157" s="4707"/>
      <c r="B157" s="4710"/>
      <c r="C157" s="4722"/>
      <c r="D157" s="4720"/>
      <c r="E157" s="1249" t="s">
        <v>477</v>
      </c>
      <c r="F157" s="1244">
        <f t="shared" si="5"/>
        <v>271405</v>
      </c>
      <c r="G157" s="1244"/>
      <c r="H157" s="1244"/>
      <c r="I157" s="1244">
        <v>271405</v>
      </c>
      <c r="J157" s="1243"/>
      <c r="K157" s="1255"/>
      <c r="L157" s="1254"/>
    </row>
    <row r="158" spans="1:12" s="1240" customFormat="1" ht="15" customHeight="1">
      <c r="A158" s="4707"/>
      <c r="B158" s="4710"/>
      <c r="C158" s="4722"/>
      <c r="D158" s="4720"/>
      <c r="E158" s="1249" t="s">
        <v>457</v>
      </c>
      <c r="F158" s="1244">
        <f t="shared" si="5"/>
        <v>47895</v>
      </c>
      <c r="G158" s="1244">
        <v>47895</v>
      </c>
      <c r="H158" s="1244"/>
      <c r="I158" s="1244"/>
      <c r="J158" s="1243"/>
      <c r="K158" s="1255"/>
      <c r="L158" s="1254"/>
    </row>
    <row r="159" spans="1:12" s="1240" customFormat="1" ht="15" customHeight="1">
      <c r="A159" s="4707"/>
      <c r="B159" s="4710"/>
      <c r="C159" s="4722"/>
      <c r="D159" s="4720"/>
      <c r="E159" s="1249" t="s">
        <v>476</v>
      </c>
      <c r="F159" s="1244">
        <f t="shared" si="5"/>
        <v>77537</v>
      </c>
      <c r="G159" s="1244"/>
      <c r="H159" s="1244"/>
      <c r="I159" s="1244">
        <v>77537</v>
      </c>
      <c r="J159" s="1243"/>
      <c r="K159" s="1255"/>
      <c r="L159" s="1254"/>
    </row>
    <row r="160" spans="1:12" s="1240" customFormat="1" ht="15" customHeight="1">
      <c r="A160" s="4707"/>
      <c r="B160" s="4710"/>
      <c r="C160" s="4722"/>
      <c r="D160" s="4720"/>
      <c r="E160" s="1249" t="s">
        <v>453</v>
      </c>
      <c r="F160" s="1244">
        <f t="shared" si="5"/>
        <v>13683</v>
      </c>
      <c r="G160" s="1244">
        <v>13683</v>
      </c>
      <c r="H160" s="1244"/>
      <c r="I160" s="1244"/>
      <c r="J160" s="1243"/>
      <c r="K160" s="1255"/>
      <c r="L160" s="1254"/>
    </row>
    <row r="161" spans="1:12" s="1240" customFormat="1" ht="22.5" hidden="1" customHeight="1">
      <c r="A161" s="4707"/>
      <c r="B161" s="4710"/>
      <c r="C161" s="4722"/>
      <c r="D161" s="4720"/>
      <c r="E161" s="1248" t="s">
        <v>427</v>
      </c>
      <c r="F161" s="1247">
        <f>SUM(F162:F163)</f>
        <v>0</v>
      </c>
      <c r="G161" s="1247">
        <f>SUM(G162:G163)</f>
        <v>0</v>
      </c>
      <c r="H161" s="1247">
        <f>SUM(H162:H163)</f>
        <v>0</v>
      </c>
      <c r="I161" s="1247">
        <f>SUM(I162:I163)</f>
        <v>0</v>
      </c>
      <c r="J161" s="1246">
        <f>SUM(J162:J163)</f>
        <v>0</v>
      </c>
      <c r="K161" s="1255"/>
      <c r="L161" s="1254"/>
    </row>
    <row r="162" spans="1:12" s="1240" customFormat="1" ht="15" hidden="1" customHeight="1">
      <c r="A162" s="4707"/>
      <c r="B162" s="4710"/>
      <c r="C162" s="4722"/>
      <c r="D162" s="4720"/>
      <c r="E162" s="1249"/>
      <c r="F162" s="1244">
        <f>SUM(G162:J162)</f>
        <v>0</v>
      </c>
      <c r="G162" s="1244"/>
      <c r="H162" s="1244"/>
      <c r="I162" s="1244"/>
      <c r="J162" s="1243"/>
      <c r="K162" s="1255"/>
      <c r="L162" s="1254"/>
    </row>
    <row r="163" spans="1:12" s="1240" customFormat="1" ht="15" hidden="1" customHeight="1">
      <c r="A163" s="4707"/>
      <c r="B163" s="4710"/>
      <c r="C163" s="4722"/>
      <c r="D163" s="4720"/>
      <c r="E163" s="1249"/>
      <c r="F163" s="1244">
        <f>SUM(G163:J163)</f>
        <v>0</v>
      </c>
      <c r="G163" s="1244"/>
      <c r="H163" s="1244"/>
      <c r="I163" s="1244"/>
      <c r="J163" s="1243"/>
      <c r="K163" s="1255"/>
      <c r="L163" s="1254"/>
    </row>
    <row r="164" spans="1:12" s="1240" customFormat="1" ht="15" customHeight="1">
      <c r="A164" s="4708"/>
      <c r="B164" s="4711"/>
      <c r="C164" s="4696"/>
      <c r="D164" s="4719"/>
      <c r="E164" s="1239" t="s">
        <v>423</v>
      </c>
      <c r="F164" s="1238">
        <f>SUM(F165:F166)</f>
        <v>0</v>
      </c>
      <c r="G164" s="1238">
        <f>SUM(G165:G166)</f>
        <v>0</v>
      </c>
      <c r="H164" s="1238">
        <f>SUM(H165:H166)</f>
        <v>0</v>
      </c>
      <c r="I164" s="1238">
        <f>SUM(I165:I166)</f>
        <v>0</v>
      </c>
      <c r="J164" s="1237">
        <f>SUM(J165:J166)</f>
        <v>0</v>
      </c>
      <c r="K164" s="1255"/>
      <c r="L164" s="1254"/>
    </row>
    <row r="165" spans="1:12" s="1240" customFormat="1" ht="15" hidden="1" customHeight="1">
      <c r="A165" s="1289"/>
      <c r="B165" s="1288"/>
      <c r="C165" s="1287"/>
      <c r="D165" s="1286"/>
      <c r="E165" s="1292"/>
      <c r="F165" s="1291">
        <f>SUM(G165:J165)</f>
        <v>0</v>
      </c>
      <c r="G165" s="1291"/>
      <c r="H165" s="1291"/>
      <c r="I165" s="1291"/>
      <c r="J165" s="1290"/>
      <c r="K165" s="1255"/>
      <c r="L165" s="1254"/>
    </row>
    <row r="166" spans="1:12" s="1240" customFormat="1" ht="15" hidden="1" customHeight="1">
      <c r="A166" s="1285"/>
      <c r="B166" s="1284"/>
      <c r="C166" s="1283"/>
      <c r="D166" s="1282"/>
      <c r="E166" s="1249"/>
      <c r="F166" s="1244">
        <f>SUM(G166:J166)</f>
        <v>0</v>
      </c>
      <c r="G166" s="1244"/>
      <c r="H166" s="1244"/>
      <c r="I166" s="1244"/>
      <c r="J166" s="1243"/>
      <c r="K166" s="1255"/>
      <c r="L166" s="1254"/>
    </row>
    <row r="167" spans="1:12" s="1240" customFormat="1" ht="22.5">
      <c r="A167" s="4706" t="s">
        <v>622</v>
      </c>
      <c r="B167" s="4709" t="s">
        <v>621</v>
      </c>
      <c r="C167" s="4695">
        <v>150</v>
      </c>
      <c r="D167" s="4718" t="s">
        <v>68</v>
      </c>
      <c r="E167" s="1253" t="s">
        <v>435</v>
      </c>
      <c r="F167" s="1252">
        <f>SUM(F168,F183)</f>
        <v>4080466</v>
      </c>
      <c r="G167" s="1252">
        <f>SUM(G168,G183)</f>
        <v>0</v>
      </c>
      <c r="H167" s="1252">
        <f>SUM(H168,H183)</f>
        <v>4080466</v>
      </c>
      <c r="I167" s="1252">
        <f>SUM(I168,I183)</f>
        <v>0</v>
      </c>
      <c r="J167" s="1251">
        <f>SUM(J168,J183)</f>
        <v>0</v>
      </c>
      <c r="K167" s="1255"/>
      <c r="L167" s="1254"/>
    </row>
    <row r="168" spans="1:12" s="1240" customFormat="1" ht="21">
      <c r="A168" s="4707"/>
      <c r="B168" s="4710"/>
      <c r="C168" s="4722"/>
      <c r="D168" s="4720"/>
      <c r="E168" s="1250" t="s">
        <v>434</v>
      </c>
      <c r="F168" s="1238">
        <f>SUM(F169,F171,F173,F179)</f>
        <v>4080466</v>
      </c>
      <c r="G168" s="1238">
        <f>SUM(G169,G171,G173,G179)</f>
        <v>0</v>
      </c>
      <c r="H168" s="1238">
        <f>SUM(H169,H171,H173,H179)</f>
        <v>4080466</v>
      </c>
      <c r="I168" s="1238">
        <f>SUM(I169,I171,I173,I179)</f>
        <v>0</v>
      </c>
      <c r="J168" s="1237">
        <f>SUM(J169,J171,J173,J179)</f>
        <v>0</v>
      </c>
      <c r="K168" s="1255"/>
      <c r="L168" s="1254"/>
    </row>
    <row r="169" spans="1:12" s="1240" customFormat="1" ht="15" customHeight="1">
      <c r="A169" s="4707"/>
      <c r="B169" s="4710"/>
      <c r="C169" s="4722"/>
      <c r="D169" s="4720"/>
      <c r="E169" s="1248" t="s">
        <v>433</v>
      </c>
      <c r="F169" s="1247">
        <f>SUM(F170:F170)</f>
        <v>102358</v>
      </c>
      <c r="G169" s="1247">
        <f>SUM(G170:G170)</f>
        <v>0</v>
      </c>
      <c r="H169" s="1247">
        <f>SUM(H170:H170)</f>
        <v>102358</v>
      </c>
      <c r="I169" s="1247">
        <f>SUM(I170:I170)</f>
        <v>0</v>
      </c>
      <c r="J169" s="1246">
        <f>SUM(J170:J170)</f>
        <v>0</v>
      </c>
      <c r="K169" s="1255"/>
      <c r="L169" s="1254"/>
    </row>
    <row r="170" spans="1:12" s="1240" customFormat="1" ht="15" customHeight="1">
      <c r="A170" s="4707"/>
      <c r="B170" s="4710"/>
      <c r="C170" s="4722"/>
      <c r="D170" s="4720"/>
      <c r="E170" s="1249" t="s">
        <v>196</v>
      </c>
      <c r="F170" s="1244">
        <f>SUM(G170:J170)</f>
        <v>102358</v>
      </c>
      <c r="G170" s="1244"/>
      <c r="H170" s="1244">
        <v>102358</v>
      </c>
      <c r="I170" s="1244"/>
      <c r="J170" s="1243"/>
      <c r="K170" s="1272"/>
      <c r="L170" s="1254"/>
    </row>
    <row r="171" spans="1:12" s="1240" customFormat="1" ht="22.5">
      <c r="A171" s="4707"/>
      <c r="B171" s="4710"/>
      <c r="C171" s="4722"/>
      <c r="D171" s="4720"/>
      <c r="E171" s="1248" t="s">
        <v>620</v>
      </c>
      <c r="F171" s="1247">
        <f>SUM(F172:F172)</f>
        <v>3978108</v>
      </c>
      <c r="G171" s="1247">
        <f>SUM(G172:G172)</f>
        <v>0</v>
      </c>
      <c r="H171" s="1247">
        <f>SUM(H172:H172)</f>
        <v>3978108</v>
      </c>
      <c r="I171" s="1247">
        <f>SUM(I172:I172)</f>
        <v>0</v>
      </c>
      <c r="J171" s="1246">
        <f>SUM(J172:J172)</f>
        <v>0</v>
      </c>
      <c r="K171" s="1255"/>
      <c r="L171" s="1254"/>
    </row>
    <row r="172" spans="1:12" s="1240" customFormat="1" ht="15" customHeight="1">
      <c r="A172" s="4707"/>
      <c r="B172" s="4710"/>
      <c r="C172" s="4722"/>
      <c r="D172" s="4720"/>
      <c r="E172" s="1249" t="s">
        <v>196</v>
      </c>
      <c r="F172" s="1244">
        <f>SUM(G172:J172)</f>
        <v>3978108</v>
      </c>
      <c r="G172" s="1244"/>
      <c r="H172" s="1244">
        <v>3978108</v>
      </c>
      <c r="I172" s="1244"/>
      <c r="J172" s="1243"/>
      <c r="K172" s="1272"/>
      <c r="L172" s="1254"/>
    </row>
    <row r="173" spans="1:12" s="1240" customFormat="1" ht="22.5" hidden="1">
      <c r="A173" s="4707"/>
      <c r="B173" s="4710"/>
      <c r="C173" s="4722"/>
      <c r="D173" s="4720"/>
      <c r="E173" s="1248" t="s">
        <v>432</v>
      </c>
      <c r="F173" s="1247">
        <f>SUM(F174:F178)</f>
        <v>0</v>
      </c>
      <c r="G173" s="1247">
        <f>SUM(G174:G178)</f>
        <v>0</v>
      </c>
      <c r="H173" s="1247">
        <f>SUM(H174:H178)</f>
        <v>0</v>
      </c>
      <c r="I173" s="1247">
        <f>SUM(I174:I178)</f>
        <v>0</v>
      </c>
      <c r="J173" s="1246">
        <f>SUM(J174:J178)</f>
        <v>0</v>
      </c>
      <c r="K173" s="1255"/>
      <c r="L173" s="1254"/>
    </row>
    <row r="174" spans="1:12" s="1240" customFormat="1" ht="15" hidden="1" customHeight="1">
      <c r="A174" s="4707"/>
      <c r="B174" s="4710"/>
      <c r="C174" s="4722"/>
      <c r="D174" s="4720"/>
      <c r="E174" s="1249" t="s">
        <v>462</v>
      </c>
      <c r="F174" s="1244">
        <f>SUM(G174:J174)</f>
        <v>0</v>
      </c>
      <c r="G174" s="1244"/>
      <c r="H174" s="1244"/>
      <c r="I174" s="1244"/>
      <c r="J174" s="1243"/>
      <c r="K174" s="1272"/>
      <c r="L174" s="1254"/>
    </row>
    <row r="175" spans="1:12" s="1240" customFormat="1" ht="15" hidden="1" customHeight="1">
      <c r="A175" s="4707"/>
      <c r="B175" s="4710"/>
      <c r="C175" s="4722"/>
      <c r="D175" s="4720"/>
      <c r="E175" s="1249" t="s">
        <v>494</v>
      </c>
      <c r="F175" s="1244">
        <f>SUM(G175:J175)</f>
        <v>0</v>
      </c>
      <c r="G175" s="1244"/>
      <c r="H175" s="1244"/>
      <c r="I175" s="1244"/>
      <c r="J175" s="1243"/>
      <c r="K175" s="1255"/>
      <c r="L175" s="1254"/>
    </row>
    <row r="176" spans="1:12" s="1240" customFormat="1" ht="15" hidden="1" customHeight="1">
      <c r="A176" s="4707"/>
      <c r="B176" s="4710"/>
      <c r="C176" s="4722"/>
      <c r="D176" s="4720"/>
      <c r="E176" s="1249" t="s">
        <v>460</v>
      </c>
      <c r="F176" s="1244">
        <f>SUM(G176:J176)</f>
        <v>0</v>
      </c>
      <c r="G176" s="1244"/>
      <c r="H176" s="1244"/>
      <c r="I176" s="1244"/>
      <c r="J176" s="1243"/>
      <c r="K176" s="1272"/>
      <c r="L176" s="1254"/>
    </row>
    <row r="177" spans="1:12" s="1240" customFormat="1" ht="15" hidden="1" customHeight="1">
      <c r="A177" s="4707"/>
      <c r="B177" s="4710"/>
      <c r="C177" s="4722"/>
      <c r="D177" s="4720"/>
      <c r="E177" s="1249" t="s">
        <v>458</v>
      </c>
      <c r="F177" s="1244">
        <f>SUM(G177:J177)</f>
        <v>0</v>
      </c>
      <c r="G177" s="1244"/>
      <c r="H177" s="1244"/>
      <c r="I177" s="1244"/>
      <c r="J177" s="1243"/>
      <c r="K177" s="1272"/>
      <c r="L177" s="1254"/>
    </row>
    <row r="178" spans="1:12" s="1240" customFormat="1" ht="15" hidden="1" customHeight="1">
      <c r="A178" s="4707"/>
      <c r="B178" s="4710"/>
      <c r="C178" s="4722"/>
      <c r="D178" s="4720"/>
      <c r="E178" s="1249" t="s">
        <v>454</v>
      </c>
      <c r="F178" s="1244">
        <f>SUM(G178:J178)</f>
        <v>0</v>
      </c>
      <c r="G178" s="1244"/>
      <c r="H178" s="1244"/>
      <c r="I178" s="1244"/>
      <c r="J178" s="1243"/>
      <c r="K178" s="1255"/>
      <c r="L178" s="1254"/>
    </row>
    <row r="179" spans="1:12" s="1240" customFormat="1" ht="22.5" hidden="1">
      <c r="A179" s="4707"/>
      <c r="B179" s="4710"/>
      <c r="C179" s="4722"/>
      <c r="D179" s="4720"/>
      <c r="E179" s="1248" t="s">
        <v>427</v>
      </c>
      <c r="F179" s="1247">
        <f>SUM(F180:F182)</f>
        <v>0</v>
      </c>
      <c r="G179" s="1247">
        <f>SUM(G180:G182)</f>
        <v>0</v>
      </c>
      <c r="H179" s="1247">
        <f>SUM(H180:H182)</f>
        <v>0</v>
      </c>
      <c r="I179" s="1247">
        <f>SUM(I180:I182)</f>
        <v>0</v>
      </c>
      <c r="J179" s="1246">
        <f>SUM(J180:J182)</f>
        <v>0</v>
      </c>
      <c r="K179" s="1255"/>
      <c r="L179" s="1254"/>
    </row>
    <row r="180" spans="1:12" s="1240" customFormat="1" ht="15" hidden="1" customHeight="1">
      <c r="A180" s="4707"/>
      <c r="B180" s="4710"/>
      <c r="C180" s="4722"/>
      <c r="D180" s="4720"/>
      <c r="E180" s="1249" t="s">
        <v>450</v>
      </c>
      <c r="F180" s="1244">
        <f>SUM(G180:J180)</f>
        <v>0</v>
      </c>
      <c r="G180" s="1244"/>
      <c r="H180" s="1244"/>
      <c r="I180" s="1244"/>
      <c r="J180" s="1243"/>
      <c r="K180" s="1255"/>
      <c r="L180" s="1254"/>
    </row>
    <row r="181" spans="1:12" s="1240" customFormat="1" ht="15" hidden="1" customHeight="1">
      <c r="A181" s="4707"/>
      <c r="B181" s="4710"/>
      <c r="C181" s="4722"/>
      <c r="D181" s="4720"/>
      <c r="E181" s="1249" t="s">
        <v>446</v>
      </c>
      <c r="F181" s="1244">
        <f>SUM(G181:J181)</f>
        <v>0</v>
      </c>
      <c r="G181" s="1244"/>
      <c r="H181" s="1244"/>
      <c r="I181" s="1244"/>
      <c r="J181" s="1243"/>
      <c r="K181" s="1255"/>
      <c r="L181" s="1254"/>
    </row>
    <row r="182" spans="1:12" s="1240" customFormat="1" ht="15" hidden="1" customHeight="1">
      <c r="A182" s="4707"/>
      <c r="B182" s="4710"/>
      <c r="C182" s="4722"/>
      <c r="D182" s="4720"/>
      <c r="E182" s="1249" t="s">
        <v>346</v>
      </c>
      <c r="F182" s="1244">
        <f>SUM(G182:J182)</f>
        <v>0</v>
      </c>
      <c r="G182" s="1244"/>
      <c r="H182" s="1244"/>
      <c r="I182" s="1244"/>
      <c r="J182" s="1243"/>
      <c r="K182" s="1255"/>
      <c r="L182" s="1254"/>
    </row>
    <row r="183" spans="1:12" s="1240" customFormat="1" ht="15" customHeight="1">
      <c r="A183" s="4708"/>
      <c r="B183" s="4711"/>
      <c r="C183" s="4696"/>
      <c r="D183" s="4719"/>
      <c r="E183" s="1239" t="s">
        <v>423</v>
      </c>
      <c r="F183" s="1238">
        <f>SUM(F184:F185)</f>
        <v>0</v>
      </c>
      <c r="G183" s="1238">
        <f>SUM(G184:G185)</f>
        <v>0</v>
      </c>
      <c r="H183" s="1238">
        <f>SUM(H184:H185)</f>
        <v>0</v>
      </c>
      <c r="I183" s="1238">
        <f>SUM(I184:I185)</f>
        <v>0</v>
      </c>
      <c r="J183" s="1237">
        <f>SUM(J184:J185)</f>
        <v>0</v>
      </c>
      <c r="K183" s="1255"/>
      <c r="L183" s="1254"/>
    </row>
    <row r="184" spans="1:12" s="1240" customFormat="1" ht="15" hidden="1" customHeight="1">
      <c r="A184" s="1235"/>
      <c r="B184" s="1234"/>
      <c r="C184" s="1233"/>
      <c r="D184" s="1232"/>
      <c r="E184" s="1236"/>
      <c r="F184" s="1230">
        <f>SUM(G184:J184)</f>
        <v>0</v>
      </c>
      <c r="G184" s="1230"/>
      <c r="H184" s="1230"/>
      <c r="I184" s="1230"/>
      <c r="J184" s="1229"/>
      <c r="K184" s="1255"/>
      <c r="L184" s="1254"/>
    </row>
    <row r="185" spans="1:12" s="1240" customFormat="1" ht="15" hidden="1" customHeight="1">
      <c r="A185" s="1235"/>
      <c r="B185" s="1234"/>
      <c r="C185" s="1233"/>
      <c r="D185" s="1232"/>
      <c r="E185" s="1236"/>
      <c r="F185" s="1230">
        <f>SUM(G185:J185)</f>
        <v>0</v>
      </c>
      <c r="G185" s="1230"/>
      <c r="H185" s="1230"/>
      <c r="I185" s="1230"/>
      <c r="J185" s="1229"/>
      <c r="K185" s="1255"/>
      <c r="L185" s="1254"/>
    </row>
    <row r="186" spans="1:12" s="1240" customFormat="1" ht="22.5">
      <c r="A186" s="4692" t="s">
        <v>619</v>
      </c>
      <c r="B186" s="4693" t="s">
        <v>618</v>
      </c>
      <c r="C186" s="4694">
        <v>600</v>
      </c>
      <c r="D186" s="4705" t="s">
        <v>617</v>
      </c>
      <c r="E186" s="1253" t="s">
        <v>435</v>
      </c>
      <c r="F186" s="1252">
        <f>SUM(F187,F196)</f>
        <v>341940000</v>
      </c>
      <c r="G186" s="1252">
        <f>SUM(G187,G196)</f>
        <v>100495659</v>
      </c>
      <c r="H186" s="1252">
        <f>SUM(H187,H196)</f>
        <v>236300000</v>
      </c>
      <c r="I186" s="1252">
        <f>SUM(I187,I196)</f>
        <v>5144341</v>
      </c>
      <c r="J186" s="1251">
        <f>SUM(J187,J196)</f>
        <v>0</v>
      </c>
      <c r="K186" s="1255"/>
      <c r="L186" s="1254"/>
    </row>
    <row r="187" spans="1:12" s="1240" customFormat="1" ht="15" customHeight="1">
      <c r="A187" s="4692"/>
      <c r="B187" s="4693"/>
      <c r="C187" s="4694"/>
      <c r="D187" s="4705"/>
      <c r="E187" s="1250" t="s">
        <v>541</v>
      </c>
      <c r="F187" s="1238">
        <f>SUM(F188,F192)</f>
        <v>0</v>
      </c>
      <c r="G187" s="1238">
        <f>SUM(G188,G192)</f>
        <v>0</v>
      </c>
      <c r="H187" s="1238">
        <f>SUM(H188,H192)</f>
        <v>0</v>
      </c>
      <c r="I187" s="1238">
        <f>SUM(I188,I192)</f>
        <v>0</v>
      </c>
      <c r="J187" s="1237">
        <f>SUM(J188,J192)</f>
        <v>0</v>
      </c>
      <c r="K187" s="1255"/>
      <c r="L187" s="1254"/>
    </row>
    <row r="188" spans="1:12" s="1240" customFormat="1" ht="15" hidden="1" customHeight="1">
      <c r="A188" s="4692"/>
      <c r="B188" s="4693"/>
      <c r="C188" s="4694"/>
      <c r="D188" s="4705"/>
      <c r="E188" s="1248" t="s">
        <v>432</v>
      </c>
      <c r="F188" s="1247">
        <f>SUM(F189:F191)</f>
        <v>0</v>
      </c>
      <c r="G188" s="1247">
        <f>SUM(G189:G191)</f>
        <v>0</v>
      </c>
      <c r="H188" s="1247">
        <f>SUM(H189:H191)</f>
        <v>0</v>
      </c>
      <c r="I188" s="1247">
        <f>SUM(I189:I191)</f>
        <v>0</v>
      </c>
      <c r="J188" s="1246">
        <f>SUM(J189:J191)</f>
        <v>0</v>
      </c>
      <c r="K188" s="1255"/>
      <c r="L188" s="1254"/>
    </row>
    <row r="189" spans="1:12" s="1240" customFormat="1" ht="15" hidden="1" customHeight="1">
      <c r="A189" s="4692"/>
      <c r="B189" s="4693"/>
      <c r="C189" s="4694"/>
      <c r="D189" s="4705"/>
      <c r="E189" s="1249"/>
      <c r="F189" s="1244">
        <f>SUM(G189:J189)</f>
        <v>0</v>
      </c>
      <c r="G189" s="1244"/>
      <c r="H189" s="1244"/>
      <c r="I189" s="1244"/>
      <c r="J189" s="1243"/>
      <c r="K189" s="1255"/>
      <c r="L189" s="1254"/>
    </row>
    <row r="190" spans="1:12" s="1240" customFormat="1" ht="15" hidden="1" customHeight="1">
      <c r="A190" s="4692"/>
      <c r="B190" s="4693"/>
      <c r="C190" s="4694"/>
      <c r="D190" s="4705"/>
      <c r="E190" s="1249"/>
      <c r="F190" s="1244">
        <f>SUM(G190:J190)</f>
        <v>0</v>
      </c>
      <c r="G190" s="1244"/>
      <c r="H190" s="1244"/>
      <c r="I190" s="1244"/>
      <c r="J190" s="1243"/>
      <c r="K190" s="1255"/>
      <c r="L190" s="1254"/>
    </row>
    <row r="191" spans="1:12" s="1240" customFormat="1" ht="15" hidden="1" customHeight="1">
      <c r="A191" s="4692"/>
      <c r="B191" s="4693"/>
      <c r="C191" s="4694"/>
      <c r="D191" s="4705"/>
      <c r="E191" s="1249"/>
      <c r="F191" s="1244">
        <f>SUM(G191:J191)</f>
        <v>0</v>
      </c>
      <c r="G191" s="1244"/>
      <c r="H191" s="1244"/>
      <c r="I191" s="1244"/>
      <c r="J191" s="1243"/>
      <c r="K191" s="1255"/>
      <c r="L191" s="1254"/>
    </row>
    <row r="192" spans="1:12" s="1240" customFormat="1" ht="15" hidden="1" customHeight="1">
      <c r="A192" s="4692"/>
      <c r="B192" s="4693"/>
      <c r="C192" s="4694"/>
      <c r="D192" s="4705"/>
      <c r="E192" s="1248" t="s">
        <v>427</v>
      </c>
      <c r="F192" s="1247">
        <f>SUM(F193:F195)</f>
        <v>0</v>
      </c>
      <c r="G192" s="1247">
        <f>SUM(G193:G195)</f>
        <v>0</v>
      </c>
      <c r="H192" s="1247">
        <f>SUM(H193:H195)</f>
        <v>0</v>
      </c>
      <c r="I192" s="1247">
        <f>SUM(I193:I195)</f>
        <v>0</v>
      </c>
      <c r="J192" s="1246">
        <f>SUM(J193:J195)</f>
        <v>0</v>
      </c>
      <c r="K192" s="1255"/>
      <c r="L192" s="1254"/>
    </row>
    <row r="193" spans="1:16" s="1240" customFormat="1" ht="15" hidden="1" customHeight="1">
      <c r="A193" s="4692"/>
      <c r="B193" s="4693"/>
      <c r="C193" s="4694"/>
      <c r="D193" s="4705"/>
      <c r="E193" s="1249"/>
      <c r="F193" s="1244">
        <f>SUM(G193:J193)</f>
        <v>0</v>
      </c>
      <c r="G193" s="1244"/>
      <c r="H193" s="1244"/>
      <c r="I193" s="1244"/>
      <c r="J193" s="1243"/>
      <c r="K193" s="1255"/>
      <c r="L193" s="1254"/>
    </row>
    <row r="194" spans="1:16" s="1240" customFormat="1" ht="15" hidden="1" customHeight="1">
      <c r="A194" s="4692"/>
      <c r="B194" s="4693"/>
      <c r="C194" s="4694"/>
      <c r="D194" s="4705"/>
      <c r="E194" s="1249"/>
      <c r="F194" s="1244">
        <f>SUM(G194:J194)</f>
        <v>0</v>
      </c>
      <c r="G194" s="1244"/>
      <c r="H194" s="1244"/>
      <c r="I194" s="1244"/>
      <c r="J194" s="1243"/>
      <c r="K194" s="1255"/>
      <c r="L194" s="1254"/>
    </row>
    <row r="195" spans="1:16" s="1240" customFormat="1" ht="15" hidden="1" customHeight="1">
      <c r="A195" s="4692"/>
      <c r="B195" s="4693"/>
      <c r="C195" s="4694"/>
      <c r="D195" s="4705"/>
      <c r="E195" s="1249"/>
      <c r="F195" s="1244">
        <f>SUM(G195:J195)</f>
        <v>0</v>
      </c>
      <c r="G195" s="1244"/>
      <c r="H195" s="1244"/>
      <c r="I195" s="1244"/>
      <c r="J195" s="1243"/>
      <c r="K195" s="1255"/>
      <c r="L195" s="1254"/>
    </row>
    <row r="196" spans="1:16" s="1240" customFormat="1" ht="15" customHeight="1">
      <c r="A196" s="4692"/>
      <c r="B196" s="4693"/>
      <c r="C196" s="4694"/>
      <c r="D196" s="4705"/>
      <c r="E196" s="1239" t="s">
        <v>423</v>
      </c>
      <c r="F196" s="1238">
        <f>SUM(F197:F199)</f>
        <v>341940000</v>
      </c>
      <c r="G196" s="1238">
        <f>SUM(G197:G199)</f>
        <v>100495659</v>
      </c>
      <c r="H196" s="1238">
        <f>SUM(H197:H199)</f>
        <v>236300000</v>
      </c>
      <c r="I196" s="1238">
        <f>SUM(I197:I199)</f>
        <v>5144341</v>
      </c>
      <c r="J196" s="1237">
        <f>SUM(J197:J199)</f>
        <v>0</v>
      </c>
      <c r="K196" s="1255"/>
      <c r="L196" s="1254"/>
    </row>
    <row r="197" spans="1:16" s="1240" customFormat="1" ht="15" customHeight="1">
      <c r="A197" s="4692"/>
      <c r="B197" s="4693"/>
      <c r="C197" s="4694"/>
      <c r="D197" s="4705"/>
      <c r="E197" s="1249" t="s">
        <v>553</v>
      </c>
      <c r="F197" s="1244">
        <f>SUM(G197:J197)</f>
        <v>63940000</v>
      </c>
      <c r="G197" s="1244">
        <v>63940000</v>
      </c>
      <c r="H197" s="1244"/>
      <c r="I197" s="1244"/>
      <c r="J197" s="1243"/>
      <c r="K197" s="1255"/>
      <c r="L197" s="1254"/>
    </row>
    <row r="198" spans="1:16" s="1240" customFormat="1" ht="15" customHeight="1">
      <c r="A198" s="4692"/>
      <c r="B198" s="4693"/>
      <c r="C198" s="4694"/>
      <c r="D198" s="4705"/>
      <c r="E198" s="1249" t="s">
        <v>504</v>
      </c>
      <c r="F198" s="1244">
        <f>SUM(G198:J198)</f>
        <v>236300000</v>
      </c>
      <c r="G198" s="1244"/>
      <c r="H198" s="1244">
        <v>236300000</v>
      </c>
      <c r="I198" s="1244"/>
      <c r="J198" s="1243"/>
      <c r="K198" s="1255"/>
      <c r="L198" s="1254"/>
    </row>
    <row r="199" spans="1:16" s="1240" customFormat="1" ht="15" customHeight="1">
      <c r="A199" s="4692"/>
      <c r="B199" s="4693"/>
      <c r="C199" s="4694"/>
      <c r="D199" s="4705"/>
      <c r="E199" s="1281">
        <v>6069</v>
      </c>
      <c r="F199" s="1244">
        <f>SUM(G199:J199)</f>
        <v>41700000</v>
      </c>
      <c r="G199" s="1244">
        <v>36555659</v>
      </c>
      <c r="H199" s="1244"/>
      <c r="I199" s="1244">
        <v>5144341</v>
      </c>
      <c r="J199" s="1243"/>
      <c r="K199" s="1255"/>
      <c r="L199" s="1254"/>
    </row>
    <row r="200" spans="1:16" s="1240" customFormat="1" ht="22.5">
      <c r="A200" s="4692" t="s">
        <v>616</v>
      </c>
      <c r="B200" s="4693" t="s">
        <v>615</v>
      </c>
      <c r="C200" s="4695">
        <v>720</v>
      </c>
      <c r="D200" s="4718" t="s">
        <v>614</v>
      </c>
      <c r="E200" s="1253" t="s">
        <v>435</v>
      </c>
      <c r="F200" s="1252">
        <f>SUM(F201,F208)</f>
        <v>11566430</v>
      </c>
      <c r="G200" s="1252">
        <f>SUM(G201,G208)</f>
        <v>1918805</v>
      </c>
      <c r="H200" s="1252">
        <f>SUM(H201,H208)</f>
        <v>9647625</v>
      </c>
      <c r="I200" s="1252">
        <f>SUM(I201,I208)</f>
        <v>0</v>
      </c>
      <c r="J200" s="1251">
        <f>SUM(J201,J208)</f>
        <v>0</v>
      </c>
      <c r="K200" s="1280"/>
      <c r="L200" s="1279"/>
      <c r="M200" s="1279"/>
      <c r="N200" s="1279"/>
      <c r="O200" s="1279"/>
      <c r="P200" s="1310"/>
    </row>
    <row r="201" spans="1:16" s="1240" customFormat="1" ht="15" customHeight="1">
      <c r="A201" s="4692"/>
      <c r="B201" s="4693"/>
      <c r="C201" s="4722"/>
      <c r="D201" s="4720"/>
      <c r="E201" s="1250" t="s">
        <v>541</v>
      </c>
      <c r="F201" s="1238">
        <f>SUM(F202,F204)</f>
        <v>0</v>
      </c>
      <c r="G201" s="1238">
        <f>SUM(G202,G204)</f>
        <v>0</v>
      </c>
      <c r="H201" s="1238">
        <f>SUM(H202,H204)</f>
        <v>0</v>
      </c>
      <c r="I201" s="1238">
        <f>SUM(I202,I204)</f>
        <v>0</v>
      </c>
      <c r="J201" s="1237">
        <f>SUM(J202,J204)</f>
        <v>0</v>
      </c>
      <c r="K201" s="1272"/>
      <c r="L201" s="1254"/>
      <c r="M201" s="1254"/>
      <c r="N201" s="1254"/>
      <c r="O201" s="1254"/>
      <c r="P201" s="1254"/>
    </row>
    <row r="202" spans="1:16" s="1240" customFormat="1" ht="15" hidden="1" customHeight="1">
      <c r="A202" s="4692"/>
      <c r="B202" s="4693"/>
      <c r="C202" s="4722"/>
      <c r="D202" s="4720"/>
      <c r="E202" s="1248" t="s">
        <v>433</v>
      </c>
      <c r="F202" s="1247">
        <f>SUM(F203:F203)</f>
        <v>0</v>
      </c>
      <c r="G202" s="1247">
        <f>SUM(G203:G203)</f>
        <v>0</v>
      </c>
      <c r="H202" s="1247">
        <f>SUM(H203:H203)</f>
        <v>0</v>
      </c>
      <c r="I202" s="1247">
        <f>SUM(I203:I203)</f>
        <v>0</v>
      </c>
      <c r="J202" s="1246">
        <f>SUM(J203:J203)</f>
        <v>0</v>
      </c>
      <c r="K202" s="1272"/>
      <c r="L202" s="1254"/>
      <c r="M202" s="1254"/>
      <c r="N202" s="1254"/>
      <c r="O202" s="1254"/>
      <c r="P202" s="1254"/>
    </row>
    <row r="203" spans="1:16" s="1240" customFormat="1" ht="15" hidden="1" customHeight="1">
      <c r="A203" s="4692"/>
      <c r="B203" s="4693"/>
      <c r="C203" s="4722"/>
      <c r="D203" s="4720"/>
      <c r="E203" s="1249" t="s">
        <v>183</v>
      </c>
      <c r="F203" s="1244">
        <f>SUM(G203:J203)</f>
        <v>0</v>
      </c>
      <c r="G203" s="1244"/>
      <c r="H203" s="1244"/>
      <c r="I203" s="1244"/>
      <c r="J203" s="1243"/>
      <c r="K203" s="1280"/>
      <c r="L203" s="1279"/>
      <c r="M203" s="1279"/>
      <c r="N203" s="1279"/>
      <c r="O203" s="1279"/>
      <c r="P203" s="1254"/>
    </row>
    <row r="204" spans="1:16" s="1240" customFormat="1" ht="22.5" hidden="1">
      <c r="A204" s="4692"/>
      <c r="B204" s="4693"/>
      <c r="C204" s="4722"/>
      <c r="D204" s="4720"/>
      <c r="E204" s="1248" t="s">
        <v>427</v>
      </c>
      <c r="F204" s="1247">
        <f>SUM(F205:F207)</f>
        <v>0</v>
      </c>
      <c r="G204" s="1247">
        <f>SUM(G205:G207)</f>
        <v>0</v>
      </c>
      <c r="H204" s="1247">
        <f>SUM(H205:H207)</f>
        <v>0</v>
      </c>
      <c r="I204" s="1247">
        <f>SUM(I205:I207)</f>
        <v>0</v>
      </c>
      <c r="J204" s="1246">
        <f>SUM(J205:J207)</f>
        <v>0</v>
      </c>
      <c r="K204" s="1255"/>
      <c r="L204" s="1254"/>
    </row>
    <row r="205" spans="1:16" s="1240" customFormat="1" ht="15" hidden="1" customHeight="1">
      <c r="A205" s="4692"/>
      <c r="B205" s="4693"/>
      <c r="C205" s="4722"/>
      <c r="D205" s="4720"/>
      <c r="E205" s="1245" t="s">
        <v>613</v>
      </c>
      <c r="F205" s="1244">
        <f>SUM(G205:J205)</f>
        <v>0</v>
      </c>
      <c r="G205" s="1244"/>
      <c r="H205" s="1244"/>
      <c r="I205" s="1244"/>
      <c r="J205" s="1243"/>
      <c r="K205" s="1255"/>
      <c r="L205" s="1254"/>
    </row>
    <row r="206" spans="1:16" s="1240" customFormat="1" ht="15" hidden="1" customHeight="1">
      <c r="A206" s="4692"/>
      <c r="B206" s="4693"/>
      <c r="C206" s="4722"/>
      <c r="D206" s="4720"/>
      <c r="E206" s="1245" t="s">
        <v>450</v>
      </c>
      <c r="F206" s="1244">
        <f>SUM(G206:J206)</f>
        <v>0</v>
      </c>
      <c r="G206" s="1244"/>
      <c r="H206" s="1244"/>
      <c r="I206" s="1244"/>
      <c r="J206" s="1243"/>
      <c r="K206" s="1255"/>
      <c r="L206" s="1254"/>
    </row>
    <row r="207" spans="1:16" s="1240" customFormat="1" ht="15" hidden="1" customHeight="1">
      <c r="A207" s="4692"/>
      <c r="B207" s="4693"/>
      <c r="C207" s="4722"/>
      <c r="D207" s="4720"/>
      <c r="E207" s="1249" t="s">
        <v>449</v>
      </c>
      <c r="F207" s="1244">
        <f>SUM(G207:J207)</f>
        <v>0</v>
      </c>
      <c r="G207" s="1244"/>
      <c r="H207" s="1244"/>
      <c r="I207" s="1244"/>
      <c r="J207" s="1243"/>
      <c r="K207" s="1255"/>
      <c r="L207" s="1254"/>
    </row>
    <row r="208" spans="1:16" s="1240" customFormat="1" ht="15" customHeight="1">
      <c r="A208" s="4692"/>
      <c r="B208" s="4693"/>
      <c r="C208" s="4722"/>
      <c r="D208" s="4720"/>
      <c r="E208" s="1239" t="s">
        <v>423</v>
      </c>
      <c r="F208" s="1238">
        <f>SUM(F209:F213)</f>
        <v>11566430</v>
      </c>
      <c r="G208" s="1238">
        <f>SUM(G209:G213)</f>
        <v>1918805</v>
      </c>
      <c r="H208" s="1238">
        <f>SUM(H209:H213)</f>
        <v>9647625</v>
      </c>
      <c r="I208" s="1238">
        <f>SUM(I209:I213)</f>
        <v>0</v>
      </c>
      <c r="J208" s="1237">
        <f>SUM(J209:J213)</f>
        <v>0</v>
      </c>
      <c r="K208" s="1272"/>
      <c r="L208" s="1254"/>
    </row>
    <row r="209" spans="1:12" s="1240" customFormat="1" ht="15" customHeight="1">
      <c r="A209" s="4692"/>
      <c r="B209" s="4693"/>
      <c r="C209" s="4722"/>
      <c r="D209" s="4720"/>
      <c r="E209" s="1249" t="s">
        <v>546</v>
      </c>
      <c r="F209" s="1244">
        <f>SUM(G209:J209)</f>
        <v>216283</v>
      </c>
      <c r="G209" s="1244">
        <v>216283</v>
      </c>
      <c r="H209" s="1244"/>
      <c r="I209" s="1244"/>
      <c r="J209" s="1243"/>
      <c r="K209" s="1272"/>
      <c r="L209" s="1254"/>
    </row>
    <row r="210" spans="1:12" s="1240" customFormat="1" ht="15" customHeight="1">
      <c r="A210" s="4692"/>
      <c r="B210" s="4693"/>
      <c r="C210" s="4722"/>
      <c r="D210" s="4720"/>
      <c r="E210" s="1249" t="s">
        <v>506</v>
      </c>
      <c r="F210" s="1244">
        <f>SUM(G210:J210)</f>
        <v>9647625</v>
      </c>
      <c r="G210" s="1244"/>
      <c r="H210" s="1244">
        <v>9647625</v>
      </c>
      <c r="I210" s="1244"/>
      <c r="J210" s="1243"/>
      <c r="K210" s="1272"/>
      <c r="L210" s="1254"/>
    </row>
    <row r="211" spans="1:12" s="1240" customFormat="1" ht="15" customHeight="1">
      <c r="A211" s="4692"/>
      <c r="B211" s="4693"/>
      <c r="C211" s="4722"/>
      <c r="D211" s="4720"/>
      <c r="E211" s="1281">
        <v>6059</v>
      </c>
      <c r="F211" s="1244">
        <f>SUM(G211:J211)</f>
        <v>1702522</v>
      </c>
      <c r="G211" s="1244">
        <v>1702522</v>
      </c>
      <c r="H211" s="1244"/>
      <c r="I211" s="1244"/>
      <c r="J211" s="1243"/>
      <c r="K211" s="1255"/>
      <c r="L211" s="1254"/>
    </row>
    <row r="212" spans="1:12" s="1240" customFormat="1" ht="15" hidden="1" customHeight="1">
      <c r="A212" s="4692"/>
      <c r="B212" s="4693"/>
      <c r="C212" s="4722"/>
      <c r="D212" s="4720"/>
      <c r="E212" s="1281"/>
      <c r="F212" s="1244">
        <f>SUM(G212:J212)</f>
        <v>0</v>
      </c>
      <c r="G212" s="1244"/>
      <c r="H212" s="1244"/>
      <c r="I212" s="1244"/>
      <c r="J212" s="1243"/>
      <c r="K212" s="1255"/>
      <c r="L212" s="1254"/>
    </row>
    <row r="213" spans="1:12" s="1240" customFormat="1" ht="15" hidden="1" customHeight="1">
      <c r="A213" s="4692"/>
      <c r="B213" s="4693"/>
      <c r="C213" s="4696"/>
      <c r="D213" s="4719"/>
      <c r="E213" s="1281"/>
      <c r="F213" s="1244">
        <f>SUM(G213:J213)</f>
        <v>0</v>
      </c>
      <c r="G213" s="1244"/>
      <c r="H213" s="1244"/>
      <c r="I213" s="1244"/>
      <c r="J213" s="1243"/>
      <c r="K213" s="1255"/>
      <c r="L213" s="1254"/>
    </row>
    <row r="214" spans="1:12" s="1240" customFormat="1" ht="22.5" customHeight="1">
      <c r="A214" s="4706" t="s">
        <v>612</v>
      </c>
      <c r="B214" s="4709" t="s">
        <v>611</v>
      </c>
      <c r="C214" s="4695">
        <v>730</v>
      </c>
      <c r="D214" s="4718" t="s">
        <v>610</v>
      </c>
      <c r="E214" s="1253" t="s">
        <v>435</v>
      </c>
      <c r="F214" s="1252">
        <f>SUM(F215,F230)</f>
        <v>761911</v>
      </c>
      <c r="G214" s="1252">
        <f>SUM(G215,G230)</f>
        <v>0</v>
      </c>
      <c r="H214" s="1252">
        <f>SUM(H215,H230)</f>
        <v>761911</v>
      </c>
      <c r="I214" s="1252">
        <f>SUM(I215,I230)</f>
        <v>0</v>
      </c>
      <c r="J214" s="1251">
        <f>SUM(J215,J230)</f>
        <v>0</v>
      </c>
      <c r="K214" s="1255"/>
      <c r="L214" s="1254"/>
    </row>
    <row r="215" spans="1:12" s="1240" customFormat="1" ht="21">
      <c r="A215" s="4707"/>
      <c r="B215" s="4710"/>
      <c r="C215" s="4722"/>
      <c r="D215" s="4720"/>
      <c r="E215" s="1250" t="s">
        <v>434</v>
      </c>
      <c r="F215" s="1238">
        <f>SUM(F216,F220)</f>
        <v>761911</v>
      </c>
      <c r="G215" s="1238">
        <f>SUM(G216,G220)</f>
        <v>0</v>
      </c>
      <c r="H215" s="1238">
        <f>SUM(H216,H220)</f>
        <v>761911</v>
      </c>
      <c r="I215" s="1238">
        <f>SUM(I216,I220)</f>
        <v>0</v>
      </c>
      <c r="J215" s="1237">
        <f>SUM(J216,J220)</f>
        <v>0</v>
      </c>
      <c r="K215" s="1255"/>
      <c r="L215" s="1254"/>
    </row>
    <row r="216" spans="1:12" s="1240" customFormat="1" ht="22.5">
      <c r="A216" s="4707"/>
      <c r="B216" s="4710"/>
      <c r="C216" s="4722"/>
      <c r="D216" s="4720"/>
      <c r="E216" s="1248" t="s">
        <v>432</v>
      </c>
      <c r="F216" s="1247">
        <f>SUM(F217:F219)</f>
        <v>20000</v>
      </c>
      <c r="G216" s="1247">
        <f>SUM(G217:G219)</f>
        <v>0</v>
      </c>
      <c r="H216" s="1247">
        <f>SUM(H217:H219)</f>
        <v>20000</v>
      </c>
      <c r="I216" s="1247">
        <f>SUM(I217:I219)</f>
        <v>0</v>
      </c>
      <c r="J216" s="1246">
        <f>SUM(J217:J219)</f>
        <v>0</v>
      </c>
      <c r="K216" s="1255"/>
      <c r="L216" s="1254"/>
    </row>
    <row r="217" spans="1:12" s="1240" customFormat="1" ht="15" hidden="1" customHeight="1">
      <c r="A217" s="4707"/>
      <c r="B217" s="4710"/>
      <c r="C217" s="4722"/>
      <c r="D217" s="4720"/>
      <c r="E217" s="1249" t="s">
        <v>458</v>
      </c>
      <c r="F217" s="1244">
        <f>SUM(G217:J217)</f>
        <v>0</v>
      </c>
      <c r="G217" s="1244"/>
      <c r="H217" s="1244"/>
      <c r="I217" s="1244"/>
      <c r="J217" s="1243"/>
      <c r="K217" s="1255"/>
      <c r="L217" s="1254"/>
    </row>
    <row r="218" spans="1:12" s="1240" customFormat="1" ht="15" customHeight="1">
      <c r="A218" s="4707"/>
      <c r="B218" s="4710"/>
      <c r="C218" s="4722"/>
      <c r="D218" s="4720"/>
      <c r="E218" s="1249" t="s">
        <v>456</v>
      </c>
      <c r="F218" s="1244">
        <f>SUM(G218:J218)</f>
        <v>20000</v>
      </c>
      <c r="G218" s="1244"/>
      <c r="H218" s="1244">
        <v>20000</v>
      </c>
      <c r="I218" s="1244"/>
      <c r="J218" s="1243"/>
      <c r="K218" s="1255"/>
      <c r="L218" s="1254"/>
    </row>
    <row r="219" spans="1:12" s="1240" customFormat="1" ht="15" hidden="1" customHeight="1">
      <c r="A219" s="4707"/>
      <c r="B219" s="4710"/>
      <c r="C219" s="4722"/>
      <c r="D219" s="4720"/>
      <c r="E219" s="1249" t="s">
        <v>454</v>
      </c>
      <c r="F219" s="1244">
        <f>SUM(G219:J219)</f>
        <v>0</v>
      </c>
      <c r="G219" s="1244"/>
      <c r="H219" s="1244"/>
      <c r="I219" s="1244"/>
      <c r="J219" s="1243"/>
      <c r="K219" s="1255"/>
      <c r="L219" s="1254"/>
    </row>
    <row r="220" spans="1:12" s="1240" customFormat="1" ht="22.5">
      <c r="A220" s="4707"/>
      <c r="B220" s="4710"/>
      <c r="C220" s="4722"/>
      <c r="D220" s="4720"/>
      <c r="E220" s="1248" t="s">
        <v>427</v>
      </c>
      <c r="F220" s="1247">
        <f>SUM(F221:F229)</f>
        <v>741911</v>
      </c>
      <c r="G220" s="1247">
        <f>SUM(G221:G229)</f>
        <v>0</v>
      </c>
      <c r="H220" s="1247">
        <f>SUM(H221:H229)</f>
        <v>741911</v>
      </c>
      <c r="I220" s="1247">
        <f>SUM(I221:I229)</f>
        <v>0</v>
      </c>
      <c r="J220" s="1246">
        <f>SUM(J221:J229)</f>
        <v>0</v>
      </c>
      <c r="K220" s="1255"/>
      <c r="L220" s="1254"/>
    </row>
    <row r="221" spans="1:12" s="1240" customFormat="1" ht="15" customHeight="1">
      <c r="A221" s="4707"/>
      <c r="B221" s="4710"/>
      <c r="C221" s="4722"/>
      <c r="D221" s="4720"/>
      <c r="E221" s="1249" t="s">
        <v>450</v>
      </c>
      <c r="F221" s="1244">
        <f t="shared" ref="F221:F229" si="6">SUM(G221:J221)</f>
        <v>50000</v>
      </c>
      <c r="G221" s="1244"/>
      <c r="H221" s="1244">
        <v>50000</v>
      </c>
      <c r="I221" s="1244"/>
      <c r="J221" s="1243"/>
      <c r="K221" s="1255"/>
      <c r="L221" s="1254"/>
    </row>
    <row r="222" spans="1:12" s="1240" customFormat="1" ht="15" customHeight="1">
      <c r="A222" s="4707"/>
      <c r="B222" s="4710"/>
      <c r="C222" s="4722"/>
      <c r="D222" s="4720"/>
      <c r="E222" s="1249" t="s">
        <v>446</v>
      </c>
      <c r="F222" s="1244">
        <f t="shared" si="6"/>
        <v>423028</v>
      </c>
      <c r="G222" s="1244"/>
      <c r="H222" s="1244">
        <v>423028</v>
      </c>
      <c r="I222" s="1244"/>
      <c r="J222" s="1243"/>
      <c r="K222" s="1255"/>
      <c r="L222" s="1254"/>
    </row>
    <row r="223" spans="1:12" s="1240" customFormat="1" ht="15" customHeight="1">
      <c r="A223" s="4707"/>
      <c r="B223" s="4710"/>
      <c r="C223" s="4722"/>
      <c r="D223" s="4720"/>
      <c r="E223" s="1249" t="s">
        <v>492</v>
      </c>
      <c r="F223" s="1244">
        <f t="shared" si="6"/>
        <v>151883</v>
      </c>
      <c r="G223" s="1244"/>
      <c r="H223" s="1244">
        <v>151883</v>
      </c>
      <c r="I223" s="1244"/>
      <c r="J223" s="1243"/>
      <c r="K223" s="1255"/>
      <c r="L223" s="1254"/>
    </row>
    <row r="224" spans="1:12" s="1240" customFormat="1" ht="15" customHeight="1">
      <c r="A224" s="4707"/>
      <c r="B224" s="4710"/>
      <c r="C224" s="4722"/>
      <c r="D224" s="4720"/>
      <c r="E224" s="1249" t="s">
        <v>467</v>
      </c>
      <c r="F224" s="1244">
        <f t="shared" si="6"/>
        <v>25000</v>
      </c>
      <c r="G224" s="1244"/>
      <c r="H224" s="1244">
        <v>25000</v>
      </c>
      <c r="I224" s="1244"/>
      <c r="J224" s="1243"/>
      <c r="K224" s="1255"/>
      <c r="L224" s="1254"/>
    </row>
    <row r="225" spans="1:12" s="1240" customFormat="1" ht="15" customHeight="1">
      <c r="A225" s="4707"/>
      <c r="B225" s="4710"/>
      <c r="C225" s="4722"/>
      <c r="D225" s="4720"/>
      <c r="E225" s="1249" t="s">
        <v>606</v>
      </c>
      <c r="F225" s="1244">
        <f t="shared" si="6"/>
        <v>75000</v>
      </c>
      <c r="G225" s="1244"/>
      <c r="H225" s="1244">
        <v>75000</v>
      </c>
      <c r="I225" s="1244"/>
      <c r="J225" s="1243"/>
      <c r="K225" s="1255"/>
      <c r="L225" s="1254"/>
    </row>
    <row r="226" spans="1:12" s="1240" customFormat="1" ht="15" customHeight="1">
      <c r="A226" s="4707"/>
      <c r="B226" s="4710"/>
      <c r="C226" s="4722"/>
      <c r="D226" s="4720"/>
      <c r="E226" s="1249" t="s">
        <v>486</v>
      </c>
      <c r="F226" s="1244">
        <f t="shared" si="6"/>
        <v>17000</v>
      </c>
      <c r="G226" s="1244"/>
      <c r="H226" s="1244">
        <v>17000</v>
      </c>
      <c r="I226" s="1244"/>
      <c r="J226" s="1243"/>
      <c r="K226" s="1255"/>
      <c r="L226" s="1254"/>
    </row>
    <row r="227" spans="1:12" s="1240" customFormat="1" ht="15" hidden="1" customHeight="1">
      <c r="A227" s="4707"/>
      <c r="B227" s="4710"/>
      <c r="C227" s="4722"/>
      <c r="D227" s="4720"/>
      <c r="E227" s="1249" t="s">
        <v>488</v>
      </c>
      <c r="F227" s="1244">
        <f t="shared" si="6"/>
        <v>0</v>
      </c>
      <c r="G227" s="1244"/>
      <c r="H227" s="1244"/>
      <c r="I227" s="1244"/>
      <c r="J227" s="1243"/>
      <c r="K227" s="1255"/>
      <c r="L227" s="1254"/>
    </row>
    <row r="228" spans="1:12" s="1240" customFormat="1" ht="15" hidden="1" customHeight="1">
      <c r="A228" s="4707"/>
      <c r="B228" s="4710"/>
      <c r="C228" s="4722"/>
      <c r="D228" s="4720"/>
      <c r="E228" s="1249" t="s">
        <v>157</v>
      </c>
      <c r="F228" s="1244">
        <f t="shared" si="6"/>
        <v>0</v>
      </c>
      <c r="G228" s="1244"/>
      <c r="H228" s="1244"/>
      <c r="I228" s="1244"/>
      <c r="J228" s="1243"/>
      <c r="K228" s="1255"/>
      <c r="L228" s="1254"/>
    </row>
    <row r="229" spans="1:12" s="1240" customFormat="1" ht="15" hidden="1" customHeight="1">
      <c r="A229" s="4707"/>
      <c r="B229" s="4710"/>
      <c r="C229" s="4722"/>
      <c r="D229" s="4720"/>
      <c r="E229" s="1249" t="s">
        <v>346</v>
      </c>
      <c r="F229" s="1244">
        <f t="shared" si="6"/>
        <v>0</v>
      </c>
      <c r="G229" s="1244"/>
      <c r="H229" s="1244"/>
      <c r="I229" s="1244"/>
      <c r="J229" s="1243"/>
      <c r="K229" s="1255"/>
      <c r="L229" s="1254"/>
    </row>
    <row r="230" spans="1:12" s="1240" customFormat="1" ht="15" customHeight="1">
      <c r="A230" s="4708"/>
      <c r="B230" s="4711"/>
      <c r="C230" s="4696"/>
      <c r="D230" s="4719"/>
      <c r="E230" s="1239" t="s">
        <v>423</v>
      </c>
      <c r="F230" s="1238">
        <f>SUM(F231:F231)</f>
        <v>0</v>
      </c>
      <c r="G230" s="1238">
        <f>SUM(G231:G231)</f>
        <v>0</v>
      </c>
      <c r="H230" s="1238">
        <f>SUM(H231:H231)</f>
        <v>0</v>
      </c>
      <c r="I230" s="1238">
        <f>SUM(I231:I231)</f>
        <v>0</v>
      </c>
      <c r="J230" s="1237">
        <f>SUM(J231:J231)</f>
        <v>0</v>
      </c>
      <c r="K230" s="1255"/>
      <c r="L230" s="1254"/>
    </row>
    <row r="231" spans="1:12" s="1240" customFormat="1" ht="15" hidden="1" customHeight="1">
      <c r="A231" s="1304"/>
      <c r="B231" s="1303"/>
      <c r="C231" s="1302"/>
      <c r="D231" s="1301"/>
      <c r="E231" s="1249" t="s">
        <v>506</v>
      </c>
      <c r="F231" s="1244">
        <f>SUM(G231:J231)</f>
        <v>0</v>
      </c>
      <c r="G231" s="1244"/>
      <c r="H231" s="1244"/>
      <c r="I231" s="1244"/>
      <c r="J231" s="1243"/>
      <c r="K231" s="1255"/>
      <c r="L231" s="1254"/>
    </row>
    <row r="232" spans="1:12" s="1240" customFormat="1" ht="22.5" hidden="1">
      <c r="A232" s="4669"/>
      <c r="B232" s="4672" t="s">
        <v>609</v>
      </c>
      <c r="C232" s="4675">
        <v>750</v>
      </c>
      <c r="D232" s="4678" t="s">
        <v>571</v>
      </c>
      <c r="E232" s="1269" t="s">
        <v>435</v>
      </c>
      <c r="F232" s="1268">
        <f>SUM(F233,F242)</f>
        <v>0</v>
      </c>
      <c r="G232" s="1268">
        <f>SUM(G233,G242)</f>
        <v>0</v>
      </c>
      <c r="H232" s="1268">
        <f>SUM(H233,H242)</f>
        <v>0</v>
      </c>
      <c r="I232" s="1268">
        <f>SUM(I233,I242)</f>
        <v>0</v>
      </c>
      <c r="J232" s="1267">
        <f>SUM(J233,J242)</f>
        <v>0</v>
      </c>
      <c r="K232" s="1272"/>
      <c r="L232" s="1254"/>
    </row>
    <row r="233" spans="1:12" s="1240" customFormat="1" ht="15" hidden="1" customHeight="1">
      <c r="A233" s="4670"/>
      <c r="B233" s="4673"/>
      <c r="C233" s="4676"/>
      <c r="D233" s="4679"/>
      <c r="E233" s="1266" t="s">
        <v>541</v>
      </c>
      <c r="F233" s="1261">
        <f>SUM(F234,F238)</f>
        <v>0</v>
      </c>
      <c r="G233" s="1261">
        <f>SUM(G234,G238)</f>
        <v>0</v>
      </c>
      <c r="H233" s="1261">
        <f>SUM(H234,H238)</f>
        <v>0</v>
      </c>
      <c r="I233" s="1261">
        <f>SUM(I234,I238)</f>
        <v>0</v>
      </c>
      <c r="J233" s="1260">
        <f>SUM(J234,J238)</f>
        <v>0</v>
      </c>
      <c r="K233" s="1255"/>
      <c r="L233" s="1254"/>
    </row>
    <row r="234" spans="1:12" s="1240" customFormat="1" ht="15" hidden="1" customHeight="1">
      <c r="A234" s="4670"/>
      <c r="B234" s="4673"/>
      <c r="C234" s="4676"/>
      <c r="D234" s="4679"/>
      <c r="E234" s="1265" t="s">
        <v>432</v>
      </c>
      <c r="F234" s="1264">
        <f>SUM(F235:F237)</f>
        <v>0</v>
      </c>
      <c r="G234" s="1264">
        <f>SUM(G235:G237)</f>
        <v>0</v>
      </c>
      <c r="H234" s="1264">
        <f>SUM(H235:H237)</f>
        <v>0</v>
      </c>
      <c r="I234" s="1264">
        <f>SUM(I235:I237)</f>
        <v>0</v>
      </c>
      <c r="J234" s="1263">
        <f>SUM(J235:J237)</f>
        <v>0</v>
      </c>
      <c r="K234" s="1255"/>
      <c r="L234" s="1254"/>
    </row>
    <row r="235" spans="1:12" s="1240" customFormat="1" ht="15" hidden="1" customHeight="1">
      <c r="A235" s="4670"/>
      <c r="B235" s="4673"/>
      <c r="C235" s="4676"/>
      <c r="D235" s="4679"/>
      <c r="E235" s="1236"/>
      <c r="F235" s="1230">
        <f>SUM(G235:J235)</f>
        <v>0</v>
      </c>
      <c r="G235" s="1230"/>
      <c r="H235" s="1230"/>
      <c r="I235" s="1230"/>
      <c r="J235" s="1229"/>
      <c r="K235" s="1255"/>
      <c r="L235" s="1254"/>
    </row>
    <row r="236" spans="1:12" s="1240" customFormat="1" ht="15" hidden="1" customHeight="1">
      <c r="A236" s="4670"/>
      <c r="B236" s="4673"/>
      <c r="C236" s="4676"/>
      <c r="D236" s="4679"/>
      <c r="E236" s="1236"/>
      <c r="F236" s="1230">
        <f>SUM(G236:J236)</f>
        <v>0</v>
      </c>
      <c r="G236" s="1230"/>
      <c r="H236" s="1230"/>
      <c r="I236" s="1230"/>
      <c r="J236" s="1229"/>
      <c r="K236" s="1255"/>
      <c r="L236" s="1254"/>
    </row>
    <row r="237" spans="1:12" s="1240" customFormat="1" ht="15" hidden="1" customHeight="1">
      <c r="A237" s="4670"/>
      <c r="B237" s="4673"/>
      <c r="C237" s="4676"/>
      <c r="D237" s="4679"/>
      <c r="E237" s="1236"/>
      <c r="F237" s="1230">
        <f>SUM(G237:J237)</f>
        <v>0</v>
      </c>
      <c r="G237" s="1230"/>
      <c r="H237" s="1230"/>
      <c r="I237" s="1230"/>
      <c r="J237" s="1229"/>
      <c r="K237" s="1255"/>
      <c r="L237" s="1254"/>
    </row>
    <row r="238" spans="1:12" s="1240" customFormat="1" ht="15" hidden="1" customHeight="1">
      <c r="A238" s="4670"/>
      <c r="B238" s="4673"/>
      <c r="C238" s="4676"/>
      <c r="D238" s="4679"/>
      <c r="E238" s="1265" t="s">
        <v>427</v>
      </c>
      <c r="F238" s="1264">
        <f>SUM(F239:F241)</f>
        <v>0</v>
      </c>
      <c r="G238" s="1264">
        <f>SUM(G239:G241)</f>
        <v>0</v>
      </c>
      <c r="H238" s="1264">
        <f>SUM(H239:H241)</f>
        <v>0</v>
      </c>
      <c r="I238" s="1264">
        <f>SUM(I239:I241)</f>
        <v>0</v>
      </c>
      <c r="J238" s="1263">
        <f>SUM(J239:J241)</f>
        <v>0</v>
      </c>
      <c r="K238" s="1255"/>
      <c r="L238" s="1254"/>
    </row>
    <row r="239" spans="1:12" s="1240" customFormat="1" ht="15" hidden="1" customHeight="1">
      <c r="A239" s="4670"/>
      <c r="B239" s="4673"/>
      <c r="C239" s="4676"/>
      <c r="D239" s="4679"/>
      <c r="E239" s="1236"/>
      <c r="F239" s="1230">
        <f>SUM(G239:J239)</f>
        <v>0</v>
      </c>
      <c r="G239" s="1230"/>
      <c r="H239" s="1230"/>
      <c r="I239" s="1230"/>
      <c r="J239" s="1229"/>
      <c r="K239" s="1255"/>
      <c r="L239" s="1254"/>
    </row>
    <row r="240" spans="1:12" s="1240" customFormat="1" ht="15" hidden="1" customHeight="1">
      <c r="A240" s="4670"/>
      <c r="B240" s="4673"/>
      <c r="C240" s="4676"/>
      <c r="D240" s="4679"/>
      <c r="E240" s="1236"/>
      <c r="F240" s="1230">
        <f>SUM(G240:J240)</f>
        <v>0</v>
      </c>
      <c r="G240" s="1230"/>
      <c r="H240" s="1230"/>
      <c r="I240" s="1230"/>
      <c r="J240" s="1229"/>
      <c r="K240" s="1255"/>
      <c r="L240" s="1254"/>
    </row>
    <row r="241" spans="1:12" s="1240" customFormat="1" ht="15" hidden="1" customHeight="1">
      <c r="A241" s="4670"/>
      <c r="B241" s="4673"/>
      <c r="C241" s="4676"/>
      <c r="D241" s="4679"/>
      <c r="E241" s="1236"/>
      <c r="F241" s="1230">
        <f>SUM(G241:J241)</f>
        <v>0</v>
      </c>
      <c r="G241" s="1230"/>
      <c r="H241" s="1230"/>
      <c r="I241" s="1230"/>
      <c r="J241" s="1229"/>
      <c r="K241" s="1255"/>
      <c r="L241" s="1254"/>
    </row>
    <row r="242" spans="1:12" s="1240" customFormat="1" ht="15" hidden="1" customHeight="1">
      <c r="A242" s="4670"/>
      <c r="B242" s="4673"/>
      <c r="C242" s="4676"/>
      <c r="D242" s="4679"/>
      <c r="E242" s="1262" t="s">
        <v>423</v>
      </c>
      <c r="F242" s="1261">
        <f>SUM(F243:F245)</f>
        <v>0</v>
      </c>
      <c r="G242" s="1261">
        <f>SUM(G243:G245)</f>
        <v>0</v>
      </c>
      <c r="H242" s="1261">
        <f>SUM(H243:H245)</f>
        <v>0</v>
      </c>
      <c r="I242" s="1261">
        <f>SUM(I243:I245)</f>
        <v>0</v>
      </c>
      <c r="J242" s="1260">
        <f>SUM(J243:J245)</f>
        <v>0</v>
      </c>
      <c r="K242" s="1255"/>
      <c r="L242" s="1254"/>
    </row>
    <row r="243" spans="1:12" s="1240" customFormat="1" ht="15" hidden="1" customHeight="1">
      <c r="A243" s="4670"/>
      <c r="B243" s="4673"/>
      <c r="C243" s="4676"/>
      <c r="D243" s="4679"/>
      <c r="E243" s="1236" t="s">
        <v>546</v>
      </c>
      <c r="F243" s="1230">
        <f>SUM(G243:J243)</f>
        <v>0</v>
      </c>
      <c r="G243" s="1230"/>
      <c r="H243" s="1230"/>
      <c r="I243" s="1230"/>
      <c r="J243" s="1229"/>
      <c r="K243" s="1255"/>
      <c r="L243" s="1254"/>
    </row>
    <row r="244" spans="1:12" s="1240" customFormat="1" ht="15" hidden="1" customHeight="1">
      <c r="A244" s="4670"/>
      <c r="B244" s="4673"/>
      <c r="C244" s="4676"/>
      <c r="D244" s="4679"/>
      <c r="E244" s="1236" t="s">
        <v>506</v>
      </c>
      <c r="F244" s="1230">
        <f>SUM(G244:J244)</f>
        <v>0</v>
      </c>
      <c r="G244" s="1230"/>
      <c r="H244" s="1230"/>
      <c r="I244" s="1230"/>
      <c r="J244" s="1229"/>
      <c r="K244" s="1255"/>
      <c r="L244" s="1254"/>
    </row>
    <row r="245" spans="1:12" s="1240" customFormat="1" ht="15" hidden="1" customHeight="1">
      <c r="A245" s="4671"/>
      <c r="B245" s="4674"/>
      <c r="C245" s="4677"/>
      <c r="D245" s="4680"/>
      <c r="E245" s="1231">
        <v>6059</v>
      </c>
      <c r="F245" s="1230">
        <f>SUM(G245:J245)</f>
        <v>0</v>
      </c>
      <c r="G245" s="1230"/>
      <c r="H245" s="1230"/>
      <c r="I245" s="1230"/>
      <c r="J245" s="1229"/>
      <c r="K245" s="1255"/>
      <c r="L245" s="1254"/>
    </row>
    <row r="246" spans="1:12" s="1240" customFormat="1" ht="22.5">
      <c r="A246" s="4692" t="s">
        <v>608</v>
      </c>
      <c r="B246" s="4693" t="s">
        <v>607</v>
      </c>
      <c r="C246" s="4694">
        <v>750</v>
      </c>
      <c r="D246" s="4705" t="s">
        <v>576</v>
      </c>
      <c r="E246" s="1253" t="s">
        <v>435</v>
      </c>
      <c r="F246" s="1252">
        <f>SUM(F247,F262)</f>
        <v>4000000</v>
      </c>
      <c r="G246" s="1252">
        <f>SUM(G247,G262)</f>
        <v>0</v>
      </c>
      <c r="H246" s="1252">
        <f>SUM(H247,H262)</f>
        <v>4000000</v>
      </c>
      <c r="I246" s="1252">
        <f>SUM(I247,I262)</f>
        <v>0</v>
      </c>
      <c r="J246" s="1251">
        <f>SUM(J247,J262)</f>
        <v>0</v>
      </c>
      <c r="K246" s="1255"/>
      <c r="L246" s="1254"/>
    </row>
    <row r="247" spans="1:12" s="1240" customFormat="1" ht="21">
      <c r="A247" s="4692"/>
      <c r="B247" s="4693"/>
      <c r="C247" s="4694"/>
      <c r="D247" s="4705"/>
      <c r="E247" s="1250" t="s">
        <v>434</v>
      </c>
      <c r="F247" s="1238">
        <f>SUM(F248,F254)</f>
        <v>4000000</v>
      </c>
      <c r="G247" s="1238">
        <f>SUM(G248,G254)</f>
        <v>0</v>
      </c>
      <c r="H247" s="1238">
        <f>SUM(H248,H254)</f>
        <v>4000000</v>
      </c>
      <c r="I247" s="1238">
        <f>SUM(I248,I254)</f>
        <v>0</v>
      </c>
      <c r="J247" s="1237">
        <f>SUM(J248,J254)</f>
        <v>0</v>
      </c>
      <c r="K247" s="1255"/>
      <c r="L247" s="1254"/>
    </row>
    <row r="248" spans="1:12" s="1240" customFormat="1" ht="22.5">
      <c r="A248" s="4692"/>
      <c r="B248" s="4693"/>
      <c r="C248" s="4694"/>
      <c r="D248" s="4705"/>
      <c r="E248" s="1248" t="s">
        <v>432</v>
      </c>
      <c r="F248" s="1247">
        <f>SUM(F249:F253)</f>
        <v>380701</v>
      </c>
      <c r="G248" s="1247">
        <f>SUM(G249:G253)</f>
        <v>0</v>
      </c>
      <c r="H248" s="1247">
        <f>SUM(H249:H253)</f>
        <v>380701</v>
      </c>
      <c r="I248" s="1247">
        <f>SUM(I249:I253)</f>
        <v>0</v>
      </c>
      <c r="J248" s="1246">
        <f>SUM(J249:J253)</f>
        <v>0</v>
      </c>
      <c r="K248" s="1255"/>
      <c r="L248" s="1254"/>
    </row>
    <row r="249" spans="1:12" s="1240" customFormat="1" ht="15" customHeight="1">
      <c r="A249" s="4692"/>
      <c r="B249" s="4693"/>
      <c r="C249" s="4694"/>
      <c r="D249" s="4705"/>
      <c r="E249" s="1249" t="s">
        <v>462</v>
      </c>
      <c r="F249" s="1244">
        <f>SUM(G249:J249)</f>
        <v>313486</v>
      </c>
      <c r="G249" s="1244"/>
      <c r="H249" s="1244">
        <v>313486</v>
      </c>
      <c r="I249" s="1244"/>
      <c r="J249" s="1243"/>
      <c r="K249" s="1255"/>
      <c r="L249" s="1254"/>
    </row>
    <row r="250" spans="1:12" s="1240" customFormat="1" ht="15" customHeight="1">
      <c r="A250" s="4692"/>
      <c r="B250" s="4693"/>
      <c r="C250" s="4694"/>
      <c r="D250" s="4705"/>
      <c r="E250" s="1249" t="s">
        <v>460</v>
      </c>
      <c r="F250" s="1244">
        <f>SUM(G250:J250)</f>
        <v>56081</v>
      </c>
      <c r="G250" s="1244"/>
      <c r="H250" s="1244">
        <v>56081</v>
      </c>
      <c r="I250" s="1244"/>
      <c r="J250" s="1243"/>
      <c r="K250" s="1255"/>
      <c r="L250" s="1254"/>
    </row>
    <row r="251" spans="1:12" s="1240" customFormat="1" ht="15" customHeight="1">
      <c r="A251" s="4692"/>
      <c r="B251" s="4693"/>
      <c r="C251" s="4694"/>
      <c r="D251" s="4705"/>
      <c r="E251" s="1249" t="s">
        <v>458</v>
      </c>
      <c r="F251" s="1244">
        <f>SUM(G251:J251)</f>
        <v>7634</v>
      </c>
      <c r="G251" s="1244"/>
      <c r="H251" s="1244">
        <v>7634</v>
      </c>
      <c r="I251" s="1244"/>
      <c r="J251" s="1243"/>
      <c r="K251" s="1255"/>
      <c r="L251" s="1254"/>
    </row>
    <row r="252" spans="1:12" s="1240" customFormat="1" ht="15" hidden="1" customHeight="1">
      <c r="A252" s="4692"/>
      <c r="B252" s="4693"/>
      <c r="C252" s="4694"/>
      <c r="D252" s="4705"/>
      <c r="E252" s="1249" t="s">
        <v>456</v>
      </c>
      <c r="F252" s="1244">
        <f>SUM(G252:J252)</f>
        <v>0</v>
      </c>
      <c r="G252" s="1244"/>
      <c r="H252" s="1244"/>
      <c r="I252" s="1244"/>
      <c r="J252" s="1243"/>
      <c r="K252" s="1255"/>
      <c r="L252" s="1254"/>
    </row>
    <row r="253" spans="1:12" s="1240" customFormat="1" ht="15" customHeight="1">
      <c r="A253" s="4692"/>
      <c r="B253" s="4693"/>
      <c r="C253" s="4694"/>
      <c r="D253" s="4705"/>
      <c r="E253" s="1249" t="s">
        <v>454</v>
      </c>
      <c r="F253" s="1244">
        <f>SUM(G253:J253)</f>
        <v>3500</v>
      </c>
      <c r="G253" s="1244"/>
      <c r="H253" s="1244">
        <v>3500</v>
      </c>
      <c r="I253" s="1244"/>
      <c r="J253" s="1243"/>
      <c r="K253" s="1255"/>
      <c r="L253" s="1254"/>
    </row>
    <row r="254" spans="1:12" s="1240" customFormat="1" ht="22.5">
      <c r="A254" s="4692"/>
      <c r="B254" s="4693"/>
      <c r="C254" s="4694"/>
      <c r="D254" s="4705"/>
      <c r="E254" s="1248" t="s">
        <v>427</v>
      </c>
      <c r="F254" s="1247">
        <f>SUM(F255:F261)</f>
        <v>3619299</v>
      </c>
      <c r="G254" s="1247">
        <f>SUM(G255:G261)</f>
        <v>0</v>
      </c>
      <c r="H254" s="1247">
        <f>SUM(H255:H261)</f>
        <v>3619299</v>
      </c>
      <c r="I254" s="1247">
        <f>SUM(I255:I261)</f>
        <v>0</v>
      </c>
      <c r="J254" s="1246">
        <f>SUM(J255:J261)</f>
        <v>0</v>
      </c>
      <c r="K254" s="1255"/>
      <c r="L254" s="1254"/>
    </row>
    <row r="255" spans="1:12" s="1240" customFormat="1" ht="15" customHeight="1">
      <c r="A255" s="4692"/>
      <c r="B255" s="4693"/>
      <c r="C255" s="4694"/>
      <c r="D255" s="4705"/>
      <c r="E255" s="1249" t="s">
        <v>450</v>
      </c>
      <c r="F255" s="1244">
        <f t="shared" ref="F255:F261" si="7">SUM(G255:J255)</f>
        <v>75321</v>
      </c>
      <c r="G255" s="1244"/>
      <c r="H255" s="1244">
        <v>75321</v>
      </c>
      <c r="I255" s="1244"/>
      <c r="J255" s="1243"/>
      <c r="K255" s="1255"/>
      <c r="L255" s="1254"/>
    </row>
    <row r="256" spans="1:12" s="1240" customFormat="1" ht="15" customHeight="1">
      <c r="A256" s="4692"/>
      <c r="B256" s="4693"/>
      <c r="C256" s="4694"/>
      <c r="D256" s="4705"/>
      <c r="E256" s="1249" t="s">
        <v>446</v>
      </c>
      <c r="F256" s="1244">
        <f t="shared" si="7"/>
        <v>3231784</v>
      </c>
      <c r="G256" s="1244"/>
      <c r="H256" s="1244">
        <v>3231784</v>
      </c>
      <c r="I256" s="1244"/>
      <c r="J256" s="1243"/>
      <c r="K256" s="1255"/>
      <c r="L256" s="1254"/>
    </row>
    <row r="257" spans="1:12" s="1240" customFormat="1" ht="15" customHeight="1">
      <c r="A257" s="4692"/>
      <c r="B257" s="4693"/>
      <c r="C257" s="4694"/>
      <c r="D257" s="4705"/>
      <c r="E257" s="1249" t="s">
        <v>492</v>
      </c>
      <c r="F257" s="1244">
        <f t="shared" si="7"/>
        <v>242630</v>
      </c>
      <c r="G257" s="1244"/>
      <c r="H257" s="1244">
        <v>242630</v>
      </c>
      <c r="I257" s="1244"/>
      <c r="J257" s="1243"/>
      <c r="K257" s="1255"/>
      <c r="L257" s="1254"/>
    </row>
    <row r="258" spans="1:12" s="1240" customFormat="1" ht="15" customHeight="1">
      <c r="A258" s="4692"/>
      <c r="B258" s="4693"/>
      <c r="C258" s="4694"/>
      <c r="D258" s="4705"/>
      <c r="E258" s="1249" t="s">
        <v>467</v>
      </c>
      <c r="F258" s="1244">
        <f t="shared" si="7"/>
        <v>5000</v>
      </c>
      <c r="G258" s="1244"/>
      <c r="H258" s="1244">
        <v>5000</v>
      </c>
      <c r="I258" s="1244"/>
      <c r="J258" s="1243"/>
      <c r="K258" s="1255"/>
      <c r="L258" s="1254"/>
    </row>
    <row r="259" spans="1:12" s="1240" customFormat="1" ht="15" customHeight="1">
      <c r="A259" s="4692"/>
      <c r="B259" s="4693"/>
      <c r="C259" s="4694"/>
      <c r="D259" s="4705"/>
      <c r="E259" s="1249" t="s">
        <v>606</v>
      </c>
      <c r="F259" s="1244">
        <f t="shared" si="7"/>
        <v>40000</v>
      </c>
      <c r="G259" s="1244"/>
      <c r="H259" s="1244">
        <v>40000</v>
      </c>
      <c r="I259" s="1244"/>
      <c r="J259" s="1243"/>
      <c r="K259" s="1255"/>
      <c r="L259" s="1254"/>
    </row>
    <row r="260" spans="1:12" s="1240" customFormat="1" ht="15" customHeight="1">
      <c r="A260" s="4692"/>
      <c r="B260" s="4693"/>
      <c r="C260" s="4694"/>
      <c r="D260" s="4705"/>
      <c r="E260" s="1249" t="s">
        <v>486</v>
      </c>
      <c r="F260" s="1244">
        <f t="shared" si="7"/>
        <v>24564</v>
      </c>
      <c r="G260" s="1244"/>
      <c r="H260" s="1244">
        <v>24564</v>
      </c>
      <c r="I260" s="1244"/>
      <c r="J260" s="1243"/>
      <c r="K260" s="1255"/>
      <c r="L260" s="1254"/>
    </row>
    <row r="261" spans="1:12" s="1240" customFormat="1" ht="15" hidden="1" customHeight="1">
      <c r="A261" s="4692"/>
      <c r="B261" s="4693"/>
      <c r="C261" s="4694"/>
      <c r="D261" s="4705"/>
      <c r="E261" s="1249" t="s">
        <v>488</v>
      </c>
      <c r="F261" s="1244">
        <f t="shared" si="7"/>
        <v>0</v>
      </c>
      <c r="G261" s="1244"/>
      <c r="H261" s="1244"/>
      <c r="I261" s="1244"/>
      <c r="J261" s="1243"/>
      <c r="K261" s="1255"/>
      <c r="L261" s="1254"/>
    </row>
    <row r="262" spans="1:12" s="1240" customFormat="1" ht="15" customHeight="1">
      <c r="A262" s="4692"/>
      <c r="B262" s="4693"/>
      <c r="C262" s="4694"/>
      <c r="D262" s="4705"/>
      <c r="E262" s="1239" t="s">
        <v>423</v>
      </c>
      <c r="F262" s="1238">
        <f>SUM(F263:F264)</f>
        <v>0</v>
      </c>
      <c r="G262" s="1238">
        <f>SUM(G263:G264)</f>
        <v>0</v>
      </c>
      <c r="H262" s="1238">
        <f>SUM(H263:H264)</f>
        <v>0</v>
      </c>
      <c r="I262" s="1238">
        <f>SUM(I263:I264)</f>
        <v>0</v>
      </c>
      <c r="J262" s="1237">
        <f>SUM(J263:J264)</f>
        <v>0</v>
      </c>
      <c r="K262" s="1255"/>
      <c r="L262" s="1254"/>
    </row>
    <row r="263" spans="1:12" s="1240" customFormat="1" ht="15" hidden="1" customHeight="1">
      <c r="A263" s="4692"/>
      <c r="B263" s="4693"/>
      <c r="C263" s="4694"/>
      <c r="D263" s="4705"/>
      <c r="E263" s="1249" t="s">
        <v>605</v>
      </c>
      <c r="F263" s="1244">
        <f>SUM(G263:J263)</f>
        <v>0</v>
      </c>
      <c r="G263" s="1244"/>
      <c r="H263" s="1244"/>
      <c r="I263" s="1244"/>
      <c r="J263" s="1243"/>
      <c r="K263" s="1255"/>
      <c r="L263" s="1254"/>
    </row>
    <row r="264" spans="1:12" s="1240" customFormat="1" ht="15" hidden="1" customHeight="1">
      <c r="A264" s="4692"/>
      <c r="B264" s="4693"/>
      <c r="C264" s="4694"/>
      <c r="D264" s="4705"/>
      <c r="E264" s="1281">
        <v>6067</v>
      </c>
      <c r="F264" s="1244">
        <f>SUM(G264:J264)</f>
        <v>0</v>
      </c>
      <c r="G264" s="1244"/>
      <c r="H264" s="1244"/>
      <c r="I264" s="1244"/>
      <c r="J264" s="1243"/>
      <c r="K264" s="1255"/>
      <c r="L264" s="1254"/>
    </row>
    <row r="265" spans="1:12" s="1240" customFormat="1" ht="15" hidden="1" customHeight="1">
      <c r="A265" s="4669"/>
      <c r="B265" s="4672" t="s">
        <v>604</v>
      </c>
      <c r="C265" s="4675">
        <v>851</v>
      </c>
      <c r="D265" s="4678" t="s">
        <v>603</v>
      </c>
      <c r="E265" s="1269" t="s">
        <v>435</v>
      </c>
      <c r="F265" s="1268">
        <f>SUM(F266,F274)</f>
        <v>0</v>
      </c>
      <c r="G265" s="1268">
        <f>SUM(G266,G274)</f>
        <v>0</v>
      </c>
      <c r="H265" s="1268">
        <f>SUM(H266,H274)</f>
        <v>0</v>
      </c>
      <c r="I265" s="1268">
        <f>SUM(I266,I274)</f>
        <v>0</v>
      </c>
      <c r="J265" s="1267">
        <f>SUM(J266,J274)</f>
        <v>0</v>
      </c>
      <c r="K265" s="1255"/>
      <c r="L265" s="1254"/>
    </row>
    <row r="266" spans="1:12" s="1240" customFormat="1" ht="15" hidden="1" customHeight="1">
      <c r="A266" s="4670"/>
      <c r="B266" s="4673"/>
      <c r="C266" s="4676"/>
      <c r="D266" s="4679"/>
      <c r="E266" s="1266" t="s">
        <v>434</v>
      </c>
      <c r="F266" s="1261">
        <f>SUM(F267,F270)</f>
        <v>0</v>
      </c>
      <c r="G266" s="1261">
        <f>SUM(G267,G270)</f>
        <v>0</v>
      </c>
      <c r="H266" s="1261">
        <f>SUM(H267,H270)</f>
        <v>0</v>
      </c>
      <c r="I266" s="1261">
        <f>SUM(I267,I270)</f>
        <v>0</v>
      </c>
      <c r="J266" s="1260">
        <f>SUM(J267,J270)</f>
        <v>0</v>
      </c>
      <c r="K266" s="1255"/>
      <c r="L266" s="1254"/>
    </row>
    <row r="267" spans="1:12" s="1240" customFormat="1" ht="15" hidden="1" customHeight="1">
      <c r="A267" s="4670"/>
      <c r="B267" s="4673"/>
      <c r="C267" s="4676"/>
      <c r="D267" s="4679"/>
      <c r="E267" s="1265" t="s">
        <v>433</v>
      </c>
      <c r="F267" s="1264">
        <f>SUM(F268:F269)</f>
        <v>0</v>
      </c>
      <c r="G267" s="1264">
        <f>SUM(G268:G269)</f>
        <v>0</v>
      </c>
      <c r="H267" s="1264">
        <f>SUM(H268:H269)</f>
        <v>0</v>
      </c>
      <c r="I267" s="1264">
        <f>SUM(I268:I269)</f>
        <v>0</v>
      </c>
      <c r="J267" s="1263">
        <f>SUM(J268:J269)</f>
        <v>0</v>
      </c>
      <c r="K267" s="1255"/>
      <c r="L267" s="1254"/>
    </row>
    <row r="268" spans="1:12" s="1240" customFormat="1" ht="15" hidden="1" customHeight="1">
      <c r="A268" s="4670"/>
      <c r="B268" s="4673"/>
      <c r="C268" s="4676"/>
      <c r="D268" s="4679"/>
      <c r="E268" s="1236" t="s">
        <v>196</v>
      </c>
      <c r="F268" s="1230">
        <f>SUM(G268:J268)</f>
        <v>0</v>
      </c>
      <c r="G268" s="1230"/>
      <c r="H268" s="1230"/>
      <c r="I268" s="1230"/>
      <c r="J268" s="1229"/>
      <c r="K268" s="1255"/>
      <c r="L268" s="1254"/>
    </row>
    <row r="269" spans="1:12" s="1240" customFormat="1" ht="15" hidden="1" customHeight="1">
      <c r="A269" s="4670"/>
      <c r="B269" s="4673"/>
      <c r="C269" s="4676"/>
      <c r="D269" s="4679"/>
      <c r="E269" s="1236"/>
      <c r="F269" s="1230">
        <f>SUM(G269:J269)</f>
        <v>0</v>
      </c>
      <c r="G269" s="1230"/>
      <c r="H269" s="1230"/>
      <c r="I269" s="1230"/>
      <c r="J269" s="1229"/>
      <c r="K269" s="1255"/>
      <c r="L269" s="1254"/>
    </row>
    <row r="270" spans="1:12" s="1240" customFormat="1" ht="15" hidden="1" customHeight="1">
      <c r="A270" s="4670"/>
      <c r="B270" s="4673"/>
      <c r="C270" s="4676"/>
      <c r="D270" s="4679"/>
      <c r="E270" s="1265" t="s">
        <v>427</v>
      </c>
      <c r="F270" s="1264">
        <f>SUM(F271:F273)</f>
        <v>0</v>
      </c>
      <c r="G270" s="1264">
        <f>SUM(G271:G273)</f>
        <v>0</v>
      </c>
      <c r="H270" s="1264">
        <f>SUM(H271:H273)</f>
        <v>0</v>
      </c>
      <c r="I270" s="1264">
        <f>SUM(I271:I273)</f>
        <v>0</v>
      </c>
      <c r="J270" s="1263">
        <f>SUM(J271:J273)</f>
        <v>0</v>
      </c>
      <c r="K270" s="1255"/>
      <c r="L270" s="1254"/>
    </row>
    <row r="271" spans="1:12" s="1240" customFormat="1" ht="15" hidden="1" customHeight="1">
      <c r="A271" s="4670"/>
      <c r="B271" s="4673"/>
      <c r="C271" s="4676"/>
      <c r="D271" s="4679"/>
      <c r="E271" s="1236" t="s">
        <v>450</v>
      </c>
      <c r="F271" s="1230">
        <f>SUM(G271:J271)</f>
        <v>0</v>
      </c>
      <c r="G271" s="1230"/>
      <c r="H271" s="1230"/>
      <c r="I271" s="1230"/>
      <c r="J271" s="1229"/>
      <c r="K271" s="1255"/>
      <c r="L271" s="1254"/>
    </row>
    <row r="272" spans="1:12" s="1240" customFormat="1" ht="15" hidden="1" customHeight="1">
      <c r="A272" s="4670"/>
      <c r="B272" s="4673"/>
      <c r="C272" s="4676"/>
      <c r="D272" s="4679"/>
      <c r="E272" s="1236" t="s">
        <v>157</v>
      </c>
      <c r="F272" s="1230">
        <f>SUM(G272:J272)</f>
        <v>0</v>
      </c>
      <c r="G272" s="1230"/>
      <c r="H272" s="1230"/>
      <c r="I272" s="1230"/>
      <c r="J272" s="1229"/>
      <c r="K272" s="1255"/>
      <c r="L272" s="1254"/>
    </row>
    <row r="273" spans="1:12" s="1240" customFormat="1" ht="15" hidden="1" customHeight="1">
      <c r="A273" s="4670"/>
      <c r="B273" s="4673"/>
      <c r="C273" s="4676"/>
      <c r="D273" s="4679"/>
      <c r="E273" s="1236" t="s">
        <v>488</v>
      </c>
      <c r="F273" s="1230">
        <f>SUM(G273:J273)</f>
        <v>0</v>
      </c>
      <c r="G273" s="1230"/>
      <c r="H273" s="1230"/>
      <c r="I273" s="1230"/>
      <c r="J273" s="1229"/>
      <c r="K273" s="1255"/>
      <c r="L273" s="1254"/>
    </row>
    <row r="274" spans="1:12" s="1240" customFormat="1" ht="15" hidden="1" customHeight="1">
      <c r="A274" s="4670"/>
      <c r="B274" s="4673"/>
      <c r="C274" s="4676"/>
      <c r="D274" s="4679"/>
      <c r="E274" s="1262" t="s">
        <v>423</v>
      </c>
      <c r="F274" s="1261">
        <f>SUM(F275:F276)</f>
        <v>0</v>
      </c>
      <c r="G274" s="1261">
        <f>SUM(G275:G276)</f>
        <v>0</v>
      </c>
      <c r="H274" s="1261">
        <f>SUM(H275:H276)</f>
        <v>0</v>
      </c>
      <c r="I274" s="1261">
        <f>SUM(I275:I276)</f>
        <v>0</v>
      </c>
      <c r="J274" s="1260">
        <f>SUM(J275:J276)</f>
        <v>0</v>
      </c>
      <c r="K274" s="1255"/>
      <c r="L274" s="1254"/>
    </row>
    <row r="275" spans="1:12" s="1240" customFormat="1" ht="15" hidden="1" customHeight="1">
      <c r="A275" s="4670"/>
      <c r="B275" s="4673"/>
      <c r="C275" s="4676"/>
      <c r="D275" s="4679"/>
      <c r="E275" s="1231">
        <v>6207</v>
      </c>
      <c r="F275" s="1230">
        <f>SUM(G275:J275)</f>
        <v>0</v>
      </c>
      <c r="G275" s="1230"/>
      <c r="H275" s="1230"/>
      <c r="I275" s="1230"/>
      <c r="J275" s="1229"/>
      <c r="K275" s="1255"/>
      <c r="L275" s="1254"/>
    </row>
    <row r="276" spans="1:12" s="1240" customFormat="1" ht="15" hidden="1" customHeight="1">
      <c r="A276" s="4671"/>
      <c r="B276" s="4674"/>
      <c r="C276" s="4677"/>
      <c r="D276" s="4680"/>
      <c r="E276" s="1231">
        <v>6697</v>
      </c>
      <c r="F276" s="1230">
        <f>SUM(G276:J276)</f>
        <v>0</v>
      </c>
      <c r="G276" s="1230"/>
      <c r="H276" s="1230"/>
      <c r="I276" s="1230"/>
      <c r="J276" s="1229"/>
      <c r="K276" s="1255"/>
      <c r="L276" s="1254"/>
    </row>
    <row r="277" spans="1:12" s="1240" customFormat="1" ht="15" hidden="1" customHeight="1">
      <c r="A277" s="4726" t="s">
        <v>590</v>
      </c>
      <c r="B277" s="4727" t="s">
        <v>602</v>
      </c>
      <c r="C277" s="4728">
        <v>854</v>
      </c>
      <c r="D277" s="4729" t="s">
        <v>600</v>
      </c>
      <c r="E277" s="1269" t="s">
        <v>435</v>
      </c>
      <c r="F277" s="1268">
        <f>SUM(F278,F299)</f>
        <v>0</v>
      </c>
      <c r="G277" s="1268">
        <f>SUM(G278,G299)</f>
        <v>0</v>
      </c>
      <c r="H277" s="1268">
        <f>SUM(H278,H299)</f>
        <v>0</v>
      </c>
      <c r="I277" s="1268">
        <f>SUM(I278,I299)</f>
        <v>0</v>
      </c>
      <c r="J277" s="1267">
        <f>SUM(J278,J299)</f>
        <v>0</v>
      </c>
      <c r="K277" s="1255"/>
      <c r="L277" s="1254"/>
    </row>
    <row r="278" spans="1:12" s="1240" customFormat="1" ht="15" hidden="1" customHeight="1">
      <c r="A278" s="4726"/>
      <c r="B278" s="4727"/>
      <c r="C278" s="4728"/>
      <c r="D278" s="4729"/>
      <c r="E278" s="1266" t="s">
        <v>434</v>
      </c>
      <c r="F278" s="1261">
        <f>SUM(F279,F288)</f>
        <v>0</v>
      </c>
      <c r="G278" s="1261">
        <f>SUM(G279,G288)</f>
        <v>0</v>
      </c>
      <c r="H278" s="1261">
        <f>SUM(H279,H288)</f>
        <v>0</v>
      </c>
      <c r="I278" s="1261">
        <f>SUM(I279,I288)</f>
        <v>0</v>
      </c>
      <c r="J278" s="1260">
        <f>SUM(J279,J288)</f>
        <v>0</v>
      </c>
      <c r="K278" s="1255"/>
      <c r="L278" s="1254"/>
    </row>
    <row r="279" spans="1:12" s="1240" customFormat="1" ht="15" hidden="1" customHeight="1">
      <c r="A279" s="4726"/>
      <c r="B279" s="4727"/>
      <c r="C279" s="4728"/>
      <c r="D279" s="4729"/>
      <c r="E279" s="1265" t="s">
        <v>432</v>
      </c>
      <c r="F279" s="1264">
        <f>SUM(F280:F287)</f>
        <v>0</v>
      </c>
      <c r="G279" s="1264">
        <f>SUM(G280:G287)</f>
        <v>0</v>
      </c>
      <c r="H279" s="1264">
        <f>SUM(H280:H287)</f>
        <v>0</v>
      </c>
      <c r="I279" s="1264">
        <f>SUM(I280:I287)</f>
        <v>0</v>
      </c>
      <c r="J279" s="1263">
        <f>SUM(J280:J287)</f>
        <v>0</v>
      </c>
      <c r="K279" s="1255"/>
      <c r="L279" s="1254"/>
    </row>
    <row r="280" spans="1:12" s="1240" customFormat="1" ht="15" hidden="1" customHeight="1">
      <c r="A280" s="4726"/>
      <c r="B280" s="4727"/>
      <c r="C280" s="4728"/>
      <c r="D280" s="4729"/>
      <c r="E280" s="1236" t="s">
        <v>462</v>
      </c>
      <c r="F280" s="1230">
        <f t="shared" ref="F280:F287" si="8">SUM(G280:J280)</f>
        <v>0</v>
      </c>
      <c r="G280" s="1230"/>
      <c r="H280" s="1230"/>
      <c r="I280" s="1230"/>
      <c r="J280" s="1229"/>
      <c r="K280" s="1255"/>
      <c r="L280" s="1254"/>
    </row>
    <row r="281" spans="1:12" s="1240" customFormat="1" ht="15" hidden="1" customHeight="1">
      <c r="A281" s="4726"/>
      <c r="B281" s="4727"/>
      <c r="C281" s="4728"/>
      <c r="D281" s="4729"/>
      <c r="E281" s="1236" t="s">
        <v>461</v>
      </c>
      <c r="F281" s="1230">
        <f t="shared" si="8"/>
        <v>0</v>
      </c>
      <c r="G281" s="1230"/>
      <c r="H281" s="1230"/>
      <c r="I281" s="1230"/>
      <c r="J281" s="1229"/>
      <c r="K281" s="1255"/>
      <c r="L281" s="1254"/>
    </row>
    <row r="282" spans="1:12" s="1240" customFormat="1" ht="15" hidden="1" customHeight="1">
      <c r="A282" s="4726"/>
      <c r="B282" s="4727"/>
      <c r="C282" s="4728"/>
      <c r="D282" s="4729"/>
      <c r="E282" s="1236" t="s">
        <v>460</v>
      </c>
      <c r="F282" s="1230">
        <f t="shared" si="8"/>
        <v>0</v>
      </c>
      <c r="G282" s="1230"/>
      <c r="H282" s="1230"/>
      <c r="I282" s="1230"/>
      <c r="J282" s="1229"/>
      <c r="K282" s="1255"/>
      <c r="L282" s="1254"/>
    </row>
    <row r="283" spans="1:12" s="1240" customFormat="1" ht="15" hidden="1" customHeight="1">
      <c r="A283" s="4726"/>
      <c r="B283" s="4727"/>
      <c r="C283" s="4728"/>
      <c r="D283" s="4729"/>
      <c r="E283" s="1236" t="s">
        <v>459</v>
      </c>
      <c r="F283" s="1230">
        <f t="shared" si="8"/>
        <v>0</v>
      </c>
      <c r="G283" s="1230"/>
      <c r="H283" s="1230"/>
      <c r="I283" s="1230"/>
      <c r="J283" s="1229"/>
      <c r="K283" s="1255"/>
      <c r="L283" s="1254"/>
    </row>
    <row r="284" spans="1:12" s="1240" customFormat="1" ht="15" hidden="1" customHeight="1">
      <c r="A284" s="4726"/>
      <c r="B284" s="4727"/>
      <c r="C284" s="4728"/>
      <c r="D284" s="4729"/>
      <c r="E284" s="1236" t="s">
        <v>458</v>
      </c>
      <c r="F284" s="1230">
        <f t="shared" si="8"/>
        <v>0</v>
      </c>
      <c r="G284" s="1230"/>
      <c r="H284" s="1230"/>
      <c r="I284" s="1230"/>
      <c r="J284" s="1229"/>
      <c r="K284" s="1255"/>
      <c r="L284" s="1254"/>
    </row>
    <row r="285" spans="1:12" s="1240" customFormat="1" ht="15" hidden="1" customHeight="1">
      <c r="A285" s="4726"/>
      <c r="B285" s="4727"/>
      <c r="C285" s="4728"/>
      <c r="D285" s="4729"/>
      <c r="E285" s="1236" t="s">
        <v>457</v>
      </c>
      <c r="F285" s="1230">
        <f t="shared" si="8"/>
        <v>0</v>
      </c>
      <c r="G285" s="1230"/>
      <c r="H285" s="1230"/>
      <c r="I285" s="1230"/>
      <c r="J285" s="1229"/>
      <c r="K285" s="1255"/>
      <c r="L285" s="1254"/>
    </row>
    <row r="286" spans="1:12" s="1240" customFormat="1" ht="15" hidden="1" customHeight="1">
      <c r="A286" s="4726"/>
      <c r="B286" s="4727"/>
      <c r="C286" s="4728"/>
      <c r="D286" s="4729"/>
      <c r="E286" s="1236" t="s">
        <v>454</v>
      </c>
      <c r="F286" s="1230">
        <f t="shared" si="8"/>
        <v>0</v>
      </c>
      <c r="G286" s="1230"/>
      <c r="H286" s="1230"/>
      <c r="I286" s="1230"/>
      <c r="J286" s="1229"/>
      <c r="K286" s="1255"/>
      <c r="L286" s="1254"/>
    </row>
    <row r="287" spans="1:12" s="1240" customFormat="1" ht="15" hidden="1" customHeight="1">
      <c r="A287" s="4726"/>
      <c r="B287" s="4727"/>
      <c r="C287" s="4728"/>
      <c r="D287" s="4729"/>
      <c r="E287" s="1236" t="s">
        <v>453</v>
      </c>
      <c r="F287" s="1230">
        <f t="shared" si="8"/>
        <v>0</v>
      </c>
      <c r="G287" s="1230"/>
      <c r="H287" s="1230"/>
      <c r="I287" s="1230"/>
      <c r="J287" s="1229"/>
      <c r="K287" s="1255"/>
      <c r="L287" s="1254"/>
    </row>
    <row r="288" spans="1:12" s="1240" customFormat="1" ht="15" hidden="1" customHeight="1">
      <c r="A288" s="4726"/>
      <c r="B288" s="4727"/>
      <c r="C288" s="4728"/>
      <c r="D288" s="4729"/>
      <c r="E288" s="1265" t="s">
        <v>427</v>
      </c>
      <c r="F288" s="1264">
        <f>SUM(F289:F298)</f>
        <v>0</v>
      </c>
      <c r="G288" s="1264">
        <f>SUM(G289:G298)</f>
        <v>0</v>
      </c>
      <c r="H288" s="1264">
        <f>SUM(H289:H298)</f>
        <v>0</v>
      </c>
      <c r="I288" s="1264">
        <f>SUM(I289:I298)</f>
        <v>0</v>
      </c>
      <c r="J288" s="1263">
        <f>SUM(J289:J298)</f>
        <v>0</v>
      </c>
      <c r="K288" s="1255"/>
      <c r="L288" s="1254"/>
    </row>
    <row r="289" spans="1:12" s="1240" customFormat="1" ht="15" hidden="1" customHeight="1">
      <c r="A289" s="4726"/>
      <c r="B289" s="4727"/>
      <c r="C289" s="4728"/>
      <c r="D289" s="4729"/>
      <c r="E289" s="1236" t="s">
        <v>599</v>
      </c>
      <c r="F289" s="1230">
        <f t="shared" ref="F289:F298" si="9">SUM(G289:J289)</f>
        <v>0</v>
      </c>
      <c r="G289" s="1230"/>
      <c r="H289" s="1230"/>
      <c r="I289" s="1230"/>
      <c r="J289" s="1229"/>
      <c r="K289" s="1255"/>
      <c r="L289" s="1254"/>
    </row>
    <row r="290" spans="1:12" s="1240" customFormat="1" ht="15" hidden="1" customHeight="1">
      <c r="A290" s="4726"/>
      <c r="B290" s="4727"/>
      <c r="C290" s="4728"/>
      <c r="D290" s="4729"/>
      <c r="E290" s="1236" t="s">
        <v>598</v>
      </c>
      <c r="F290" s="1230">
        <f t="shared" si="9"/>
        <v>0</v>
      </c>
      <c r="G290" s="1230"/>
      <c r="H290" s="1230"/>
      <c r="I290" s="1230"/>
      <c r="J290" s="1229"/>
      <c r="K290" s="1255"/>
      <c r="L290" s="1254"/>
    </row>
    <row r="291" spans="1:12" s="1240" customFormat="1" ht="15" hidden="1" customHeight="1">
      <c r="A291" s="4726"/>
      <c r="B291" s="4727"/>
      <c r="C291" s="4728"/>
      <c r="D291" s="4729"/>
      <c r="E291" s="1236" t="s">
        <v>450</v>
      </c>
      <c r="F291" s="1230">
        <f t="shared" si="9"/>
        <v>0</v>
      </c>
      <c r="G291" s="1230"/>
      <c r="H291" s="1230"/>
      <c r="I291" s="1230"/>
      <c r="J291" s="1229"/>
      <c r="K291" s="1255"/>
      <c r="L291" s="1254"/>
    </row>
    <row r="292" spans="1:12" s="1240" customFormat="1" ht="15" hidden="1" customHeight="1">
      <c r="A292" s="4726"/>
      <c r="B292" s="4727"/>
      <c r="C292" s="4728"/>
      <c r="D292" s="4729"/>
      <c r="E292" s="1236" t="s">
        <v>449</v>
      </c>
      <c r="F292" s="1230">
        <f t="shared" si="9"/>
        <v>0</v>
      </c>
      <c r="G292" s="1230"/>
      <c r="H292" s="1230"/>
      <c r="I292" s="1230"/>
      <c r="J292" s="1229"/>
      <c r="K292" s="1255"/>
      <c r="L292" s="1254"/>
    </row>
    <row r="293" spans="1:12" s="1240" customFormat="1" ht="15" hidden="1" customHeight="1">
      <c r="A293" s="4726"/>
      <c r="B293" s="4727"/>
      <c r="C293" s="4728"/>
      <c r="D293" s="4729"/>
      <c r="E293" s="1236" t="s">
        <v>448</v>
      </c>
      <c r="F293" s="1230">
        <f t="shared" si="9"/>
        <v>0</v>
      </c>
      <c r="G293" s="1230"/>
      <c r="H293" s="1230"/>
      <c r="I293" s="1230"/>
      <c r="J293" s="1229"/>
      <c r="K293" s="1255"/>
      <c r="L293" s="1254"/>
    </row>
    <row r="294" spans="1:12" s="1240" customFormat="1" ht="15" hidden="1" customHeight="1">
      <c r="A294" s="4726"/>
      <c r="B294" s="4727"/>
      <c r="C294" s="4728"/>
      <c r="D294" s="4729"/>
      <c r="E294" s="1236" t="s">
        <v>447</v>
      </c>
      <c r="F294" s="1230">
        <f t="shared" si="9"/>
        <v>0</v>
      </c>
      <c r="G294" s="1230"/>
      <c r="H294" s="1230"/>
      <c r="I294" s="1230"/>
      <c r="J294" s="1229"/>
      <c r="K294" s="1255"/>
      <c r="L294" s="1254"/>
    </row>
    <row r="295" spans="1:12" s="1240" customFormat="1" ht="15" hidden="1" customHeight="1">
      <c r="A295" s="4726"/>
      <c r="B295" s="4727"/>
      <c r="C295" s="4728"/>
      <c r="D295" s="4729"/>
      <c r="E295" s="1236" t="s">
        <v>446</v>
      </c>
      <c r="F295" s="1230">
        <f t="shared" si="9"/>
        <v>0</v>
      </c>
      <c r="G295" s="1230"/>
      <c r="H295" s="1230"/>
      <c r="I295" s="1230"/>
      <c r="J295" s="1229"/>
      <c r="K295" s="1255"/>
      <c r="L295" s="1254"/>
    </row>
    <row r="296" spans="1:12" s="1240" customFormat="1" ht="15" hidden="1" customHeight="1">
      <c r="A296" s="4726"/>
      <c r="B296" s="4727"/>
      <c r="C296" s="4728"/>
      <c r="D296" s="4729"/>
      <c r="E296" s="1236" t="s">
        <v>445</v>
      </c>
      <c r="F296" s="1230">
        <f t="shared" si="9"/>
        <v>0</v>
      </c>
      <c r="G296" s="1230"/>
      <c r="H296" s="1230"/>
      <c r="I296" s="1230"/>
      <c r="J296" s="1229"/>
      <c r="K296" s="1255"/>
      <c r="L296" s="1254"/>
    </row>
    <row r="297" spans="1:12" s="1240" customFormat="1" ht="15" hidden="1" customHeight="1">
      <c r="A297" s="4726"/>
      <c r="B297" s="4727"/>
      <c r="C297" s="4728"/>
      <c r="D297" s="4729"/>
      <c r="E297" s="1236" t="s">
        <v>444</v>
      </c>
      <c r="F297" s="1230">
        <f t="shared" si="9"/>
        <v>0</v>
      </c>
      <c r="G297" s="1230"/>
      <c r="H297" s="1230"/>
      <c r="I297" s="1230"/>
      <c r="J297" s="1229"/>
      <c r="K297" s="1255"/>
      <c r="L297" s="1254"/>
    </row>
    <row r="298" spans="1:12" s="1240" customFormat="1" ht="15" hidden="1" customHeight="1">
      <c r="A298" s="4726"/>
      <c r="B298" s="4727"/>
      <c r="C298" s="4728"/>
      <c r="D298" s="4729"/>
      <c r="E298" s="1236" t="s">
        <v>443</v>
      </c>
      <c r="F298" s="1230">
        <f t="shared" si="9"/>
        <v>0</v>
      </c>
      <c r="G298" s="1230"/>
      <c r="H298" s="1230"/>
      <c r="I298" s="1230"/>
      <c r="J298" s="1229"/>
      <c r="K298" s="1255"/>
      <c r="L298" s="1254"/>
    </row>
    <row r="299" spans="1:12" s="1240" customFormat="1" ht="15" hidden="1" customHeight="1">
      <c r="A299" s="4726"/>
      <c r="B299" s="4727"/>
      <c r="C299" s="4728"/>
      <c r="D299" s="4729"/>
      <c r="E299" s="1262" t="s">
        <v>423</v>
      </c>
      <c r="F299" s="1261">
        <f>SUM(F300:F301)</f>
        <v>0</v>
      </c>
      <c r="G299" s="1261">
        <f>SUM(G300:G301)</f>
        <v>0</v>
      </c>
      <c r="H299" s="1261">
        <f>SUM(H300:H301)</f>
        <v>0</v>
      </c>
      <c r="I299" s="1261">
        <f>SUM(I300:I301)</f>
        <v>0</v>
      </c>
      <c r="J299" s="1260">
        <f>SUM(J300:J301)</f>
        <v>0</v>
      </c>
      <c r="K299" s="1255"/>
      <c r="L299" s="1254"/>
    </row>
    <row r="300" spans="1:12" s="1240" customFormat="1" ht="15" hidden="1" customHeight="1">
      <c r="A300" s="1235"/>
      <c r="B300" s="1234"/>
      <c r="C300" s="1233"/>
      <c r="D300" s="1232"/>
      <c r="E300" s="1236"/>
      <c r="F300" s="1230">
        <f>SUM(G300:J300)</f>
        <v>0</v>
      </c>
      <c r="G300" s="1230"/>
      <c r="H300" s="1230"/>
      <c r="I300" s="1230"/>
      <c r="J300" s="1229"/>
      <c r="K300" s="1255"/>
      <c r="L300" s="1254"/>
    </row>
    <row r="301" spans="1:12" s="1240" customFormat="1" ht="15" hidden="1" customHeight="1">
      <c r="A301" s="1235"/>
      <c r="B301" s="1234"/>
      <c r="C301" s="1233"/>
      <c r="D301" s="1232"/>
      <c r="E301" s="1231"/>
      <c r="F301" s="1230">
        <f>SUM(G301:J301)</f>
        <v>0</v>
      </c>
      <c r="G301" s="1230"/>
      <c r="H301" s="1230"/>
      <c r="I301" s="1230"/>
      <c r="J301" s="1229"/>
      <c r="K301" s="1255"/>
      <c r="L301" s="1254"/>
    </row>
    <row r="302" spans="1:12" s="1240" customFormat="1" ht="15" hidden="1" customHeight="1">
      <c r="A302" s="4726" t="s">
        <v>586</v>
      </c>
      <c r="B302" s="4727" t="s">
        <v>601</v>
      </c>
      <c r="C302" s="4728">
        <v>854</v>
      </c>
      <c r="D302" s="4729" t="s">
        <v>600</v>
      </c>
      <c r="E302" s="1269" t="s">
        <v>435</v>
      </c>
      <c r="F302" s="1268">
        <f>SUM(F303,F324)</f>
        <v>0</v>
      </c>
      <c r="G302" s="1268">
        <f>SUM(G303,G324)</f>
        <v>0</v>
      </c>
      <c r="H302" s="1268">
        <f>SUM(H303,H324)</f>
        <v>0</v>
      </c>
      <c r="I302" s="1268">
        <f>SUM(I303,I324)</f>
        <v>0</v>
      </c>
      <c r="J302" s="1267">
        <f>SUM(J303,J324)</f>
        <v>0</v>
      </c>
      <c r="K302" s="1255"/>
      <c r="L302" s="1254"/>
    </row>
    <row r="303" spans="1:12" s="1240" customFormat="1" ht="15" hidden="1" customHeight="1">
      <c r="A303" s="4726"/>
      <c r="B303" s="4727"/>
      <c r="C303" s="4728"/>
      <c r="D303" s="4729"/>
      <c r="E303" s="1266" t="s">
        <v>434</v>
      </c>
      <c r="F303" s="1261">
        <f>SUM(F304,F313)</f>
        <v>0</v>
      </c>
      <c r="G303" s="1261">
        <f>SUM(G304,G313)</f>
        <v>0</v>
      </c>
      <c r="H303" s="1261">
        <f>SUM(H304,H313)</f>
        <v>0</v>
      </c>
      <c r="I303" s="1261">
        <f>SUM(I304,I313)</f>
        <v>0</v>
      </c>
      <c r="J303" s="1260">
        <f>SUM(J304,J313)</f>
        <v>0</v>
      </c>
      <c r="K303" s="1255"/>
      <c r="L303" s="1254"/>
    </row>
    <row r="304" spans="1:12" s="1240" customFormat="1" ht="15" hidden="1" customHeight="1">
      <c r="A304" s="4726"/>
      <c r="B304" s="4727"/>
      <c r="C304" s="4728"/>
      <c r="D304" s="4729"/>
      <c r="E304" s="1265" t="s">
        <v>432</v>
      </c>
      <c r="F304" s="1264">
        <f>SUM(F305:F312)</f>
        <v>0</v>
      </c>
      <c r="G304" s="1264">
        <f>SUM(G305:G312)</f>
        <v>0</v>
      </c>
      <c r="H304" s="1264">
        <f>SUM(H305:H312)</f>
        <v>0</v>
      </c>
      <c r="I304" s="1264">
        <f>SUM(I305:I312)</f>
        <v>0</v>
      </c>
      <c r="J304" s="1263">
        <f>SUM(J305:J312)</f>
        <v>0</v>
      </c>
      <c r="K304" s="1255"/>
      <c r="L304" s="1254"/>
    </row>
    <row r="305" spans="1:12" s="1240" customFormat="1" ht="15" hidden="1" customHeight="1">
      <c r="A305" s="4726"/>
      <c r="B305" s="4727"/>
      <c r="C305" s="4728"/>
      <c r="D305" s="4729"/>
      <c r="E305" s="1236" t="s">
        <v>462</v>
      </c>
      <c r="F305" s="1230">
        <f t="shared" ref="F305:F312" si="10">SUM(G305:J305)</f>
        <v>0</v>
      </c>
      <c r="G305" s="1230"/>
      <c r="H305" s="1230"/>
      <c r="I305" s="1230"/>
      <c r="J305" s="1229"/>
      <c r="K305" s="1272"/>
      <c r="L305" s="1254"/>
    </row>
    <row r="306" spans="1:12" s="1240" customFormat="1" ht="15" hidden="1" customHeight="1">
      <c r="A306" s="4726"/>
      <c r="B306" s="4727"/>
      <c r="C306" s="4728"/>
      <c r="D306" s="4729"/>
      <c r="E306" s="1236" t="s">
        <v>461</v>
      </c>
      <c r="F306" s="1230">
        <f t="shared" si="10"/>
        <v>0</v>
      </c>
      <c r="G306" s="1230"/>
      <c r="H306" s="1230"/>
      <c r="I306" s="1230"/>
      <c r="J306" s="1229"/>
      <c r="K306" s="1272"/>
      <c r="L306" s="1254"/>
    </row>
    <row r="307" spans="1:12" s="1240" customFormat="1" ht="15" hidden="1" customHeight="1">
      <c r="A307" s="4726"/>
      <c r="B307" s="4727"/>
      <c r="C307" s="4728"/>
      <c r="D307" s="4729"/>
      <c r="E307" s="1236" t="s">
        <v>460</v>
      </c>
      <c r="F307" s="1230">
        <f t="shared" si="10"/>
        <v>0</v>
      </c>
      <c r="G307" s="1230"/>
      <c r="H307" s="1230"/>
      <c r="I307" s="1230"/>
      <c r="J307" s="1229"/>
      <c r="K307" s="1272"/>
      <c r="L307" s="1254"/>
    </row>
    <row r="308" spans="1:12" s="1240" customFormat="1" ht="15" hidden="1" customHeight="1">
      <c r="A308" s="4726"/>
      <c r="B308" s="4727"/>
      <c r="C308" s="4728"/>
      <c r="D308" s="4729"/>
      <c r="E308" s="1236" t="s">
        <v>459</v>
      </c>
      <c r="F308" s="1230">
        <f t="shared" si="10"/>
        <v>0</v>
      </c>
      <c r="G308" s="1230"/>
      <c r="H308" s="1230"/>
      <c r="I308" s="1230"/>
      <c r="J308" s="1229"/>
      <c r="K308" s="1272"/>
      <c r="L308" s="1254"/>
    </row>
    <row r="309" spans="1:12" s="1240" customFormat="1" ht="15" hidden="1" customHeight="1">
      <c r="A309" s="4726"/>
      <c r="B309" s="4727"/>
      <c r="C309" s="4728"/>
      <c r="D309" s="4729"/>
      <c r="E309" s="1236" t="s">
        <v>458</v>
      </c>
      <c r="F309" s="1230">
        <f t="shared" si="10"/>
        <v>0</v>
      </c>
      <c r="G309" s="1230"/>
      <c r="H309" s="1230"/>
      <c r="I309" s="1230"/>
      <c r="J309" s="1229"/>
      <c r="K309" s="1272"/>
      <c r="L309" s="1254"/>
    </row>
    <row r="310" spans="1:12" s="1240" customFormat="1" ht="15" hidden="1" customHeight="1">
      <c r="A310" s="4726"/>
      <c r="B310" s="4727"/>
      <c r="C310" s="4728"/>
      <c r="D310" s="4729"/>
      <c r="E310" s="1236" t="s">
        <v>457</v>
      </c>
      <c r="F310" s="1230">
        <f t="shared" si="10"/>
        <v>0</v>
      </c>
      <c r="G310" s="1230"/>
      <c r="H310" s="1230"/>
      <c r="I310" s="1230"/>
      <c r="J310" s="1229"/>
      <c r="K310" s="1272"/>
      <c r="L310" s="1254"/>
    </row>
    <row r="311" spans="1:12" s="1240" customFormat="1" ht="15" hidden="1" customHeight="1">
      <c r="A311" s="4726"/>
      <c r="B311" s="4727"/>
      <c r="C311" s="4728"/>
      <c r="D311" s="4729"/>
      <c r="E311" s="1236" t="s">
        <v>454</v>
      </c>
      <c r="F311" s="1230">
        <f t="shared" si="10"/>
        <v>0</v>
      </c>
      <c r="G311" s="1230"/>
      <c r="H311" s="1230"/>
      <c r="I311" s="1230"/>
      <c r="J311" s="1229"/>
      <c r="K311" s="1272"/>
      <c r="L311" s="1254"/>
    </row>
    <row r="312" spans="1:12" s="1240" customFormat="1" ht="15" hidden="1" customHeight="1">
      <c r="A312" s="4726"/>
      <c r="B312" s="4727"/>
      <c r="C312" s="4728"/>
      <c r="D312" s="4729"/>
      <c r="E312" s="1236" t="s">
        <v>453</v>
      </c>
      <c r="F312" s="1230">
        <f t="shared" si="10"/>
        <v>0</v>
      </c>
      <c r="G312" s="1230"/>
      <c r="H312" s="1230"/>
      <c r="I312" s="1230"/>
      <c r="J312" s="1229"/>
      <c r="K312" s="1272"/>
      <c r="L312" s="1254"/>
    </row>
    <row r="313" spans="1:12" s="1240" customFormat="1" ht="15" hidden="1" customHeight="1">
      <c r="A313" s="4726"/>
      <c r="B313" s="4727"/>
      <c r="C313" s="4728"/>
      <c r="D313" s="4729"/>
      <c r="E313" s="1265" t="s">
        <v>427</v>
      </c>
      <c r="F313" s="1264">
        <f>SUM(F314:F323)</f>
        <v>0</v>
      </c>
      <c r="G313" s="1264">
        <f>SUM(G314:G323)</f>
        <v>0</v>
      </c>
      <c r="H313" s="1264">
        <f>SUM(H314:H323)</f>
        <v>0</v>
      </c>
      <c r="I313" s="1264">
        <f>SUM(I314:I323)</f>
        <v>0</v>
      </c>
      <c r="J313" s="1263">
        <f>SUM(J314:J323)</f>
        <v>0</v>
      </c>
      <c r="K313" s="1272"/>
      <c r="L313" s="1254"/>
    </row>
    <row r="314" spans="1:12" s="1240" customFormat="1" ht="15" hidden="1" customHeight="1">
      <c r="A314" s="4726"/>
      <c r="B314" s="4727"/>
      <c r="C314" s="4728"/>
      <c r="D314" s="4729"/>
      <c r="E314" s="1236" t="s">
        <v>599</v>
      </c>
      <c r="F314" s="1230">
        <f t="shared" ref="F314:F323" si="11">SUM(G314:J314)</f>
        <v>0</v>
      </c>
      <c r="G314" s="1230"/>
      <c r="H314" s="1230"/>
      <c r="I314" s="1230"/>
      <c r="J314" s="1229"/>
      <c r="K314" s="1272"/>
      <c r="L314" s="1254"/>
    </row>
    <row r="315" spans="1:12" s="1240" customFormat="1" ht="15" hidden="1" customHeight="1">
      <c r="A315" s="4726"/>
      <c r="B315" s="4727"/>
      <c r="C315" s="4728"/>
      <c r="D315" s="4729"/>
      <c r="E315" s="1236" t="s">
        <v>598</v>
      </c>
      <c r="F315" s="1230">
        <f t="shared" si="11"/>
        <v>0</v>
      </c>
      <c r="G315" s="1230"/>
      <c r="H315" s="1230"/>
      <c r="I315" s="1230"/>
      <c r="J315" s="1229"/>
      <c r="K315" s="1272"/>
      <c r="L315" s="1254"/>
    </row>
    <row r="316" spans="1:12" s="1240" customFormat="1" ht="15" hidden="1" customHeight="1">
      <c r="A316" s="4726"/>
      <c r="B316" s="4727"/>
      <c r="C316" s="4728"/>
      <c r="D316" s="4729"/>
      <c r="E316" s="1236" t="s">
        <v>450</v>
      </c>
      <c r="F316" s="1230">
        <f t="shared" si="11"/>
        <v>0</v>
      </c>
      <c r="G316" s="1230"/>
      <c r="H316" s="1230"/>
      <c r="I316" s="1230"/>
      <c r="J316" s="1229"/>
      <c r="K316" s="1272"/>
      <c r="L316" s="1254"/>
    </row>
    <row r="317" spans="1:12" s="1240" customFormat="1" ht="15" hidden="1" customHeight="1">
      <c r="A317" s="4726"/>
      <c r="B317" s="4727"/>
      <c r="C317" s="4728"/>
      <c r="D317" s="4729"/>
      <c r="E317" s="1236" t="s">
        <v>449</v>
      </c>
      <c r="F317" s="1230">
        <f t="shared" si="11"/>
        <v>0</v>
      </c>
      <c r="G317" s="1230"/>
      <c r="H317" s="1230"/>
      <c r="I317" s="1230"/>
      <c r="J317" s="1229"/>
      <c r="K317" s="1272"/>
      <c r="L317" s="1254"/>
    </row>
    <row r="318" spans="1:12" s="1240" customFormat="1" ht="15" hidden="1" customHeight="1">
      <c r="A318" s="4726"/>
      <c r="B318" s="4727"/>
      <c r="C318" s="4728"/>
      <c r="D318" s="4729"/>
      <c r="E318" s="1236" t="s">
        <v>448</v>
      </c>
      <c r="F318" s="1230">
        <f t="shared" si="11"/>
        <v>0</v>
      </c>
      <c r="G318" s="1230"/>
      <c r="H318" s="1230"/>
      <c r="I318" s="1230"/>
      <c r="J318" s="1229"/>
      <c r="K318" s="1272"/>
      <c r="L318" s="1254"/>
    </row>
    <row r="319" spans="1:12" s="1240" customFormat="1" ht="15" hidden="1" customHeight="1">
      <c r="A319" s="4726"/>
      <c r="B319" s="4727"/>
      <c r="C319" s="4728"/>
      <c r="D319" s="4729"/>
      <c r="E319" s="1236" t="s">
        <v>447</v>
      </c>
      <c r="F319" s="1230">
        <f t="shared" si="11"/>
        <v>0</v>
      </c>
      <c r="G319" s="1230"/>
      <c r="H319" s="1230"/>
      <c r="I319" s="1230"/>
      <c r="J319" s="1229"/>
      <c r="K319" s="1272"/>
      <c r="L319" s="1254"/>
    </row>
    <row r="320" spans="1:12" s="1240" customFormat="1" ht="15" hidden="1" customHeight="1">
      <c r="A320" s="4726"/>
      <c r="B320" s="4727"/>
      <c r="C320" s="4728"/>
      <c r="D320" s="4729"/>
      <c r="E320" s="1236" t="s">
        <v>446</v>
      </c>
      <c r="F320" s="1230">
        <f t="shared" si="11"/>
        <v>0</v>
      </c>
      <c r="G320" s="1230"/>
      <c r="H320" s="1230"/>
      <c r="I320" s="1230"/>
      <c r="J320" s="1229"/>
      <c r="K320" s="1272"/>
      <c r="L320" s="1254"/>
    </row>
    <row r="321" spans="1:12" s="1240" customFormat="1" ht="15" hidden="1" customHeight="1">
      <c r="A321" s="4726"/>
      <c r="B321" s="4727"/>
      <c r="C321" s="4728"/>
      <c r="D321" s="4729"/>
      <c r="E321" s="1236" t="s">
        <v>445</v>
      </c>
      <c r="F321" s="1230">
        <f t="shared" si="11"/>
        <v>0</v>
      </c>
      <c r="G321" s="1230"/>
      <c r="H321" s="1230"/>
      <c r="I321" s="1230"/>
      <c r="J321" s="1229"/>
      <c r="K321" s="1272"/>
      <c r="L321" s="1254"/>
    </row>
    <row r="322" spans="1:12" s="1240" customFormat="1" ht="15" hidden="1" customHeight="1">
      <c r="A322" s="4726"/>
      <c r="B322" s="4727"/>
      <c r="C322" s="4728"/>
      <c r="D322" s="4729"/>
      <c r="E322" s="1236" t="s">
        <v>444</v>
      </c>
      <c r="F322" s="1230">
        <f t="shared" si="11"/>
        <v>0</v>
      </c>
      <c r="G322" s="1230"/>
      <c r="H322" s="1230"/>
      <c r="I322" s="1230"/>
      <c r="J322" s="1229"/>
      <c r="K322" s="1272"/>
      <c r="L322" s="1254"/>
    </row>
    <row r="323" spans="1:12" s="1240" customFormat="1" ht="15" hidden="1" customHeight="1">
      <c r="A323" s="4726"/>
      <c r="B323" s="4727"/>
      <c r="C323" s="4728"/>
      <c r="D323" s="4729"/>
      <c r="E323" s="1236" t="s">
        <v>443</v>
      </c>
      <c r="F323" s="1230">
        <f t="shared" si="11"/>
        <v>0</v>
      </c>
      <c r="G323" s="1230"/>
      <c r="H323" s="1230"/>
      <c r="I323" s="1230"/>
      <c r="J323" s="1229"/>
      <c r="K323" s="1272"/>
      <c r="L323" s="1254"/>
    </row>
    <row r="324" spans="1:12" s="1240" customFormat="1" ht="15" hidden="1" customHeight="1">
      <c r="A324" s="4726"/>
      <c r="B324" s="4727"/>
      <c r="C324" s="4728"/>
      <c r="D324" s="4729"/>
      <c r="E324" s="1262" t="s">
        <v>423</v>
      </c>
      <c r="F324" s="1261">
        <f>SUM(F325:F326)</f>
        <v>0</v>
      </c>
      <c r="G324" s="1261">
        <f>SUM(G325:G326)</f>
        <v>0</v>
      </c>
      <c r="H324" s="1261">
        <f>SUM(H325:H326)</f>
        <v>0</v>
      </c>
      <c r="I324" s="1261">
        <f>SUM(I325:I326)</f>
        <v>0</v>
      </c>
      <c r="J324" s="1260">
        <f>SUM(J325:J326)</f>
        <v>0</v>
      </c>
      <c r="K324" s="1255"/>
      <c r="L324" s="1254"/>
    </row>
    <row r="325" spans="1:12" s="1240" customFormat="1" ht="15" hidden="1" customHeight="1">
      <c r="A325" s="1235"/>
      <c r="B325" s="1234"/>
      <c r="C325" s="1233"/>
      <c r="D325" s="1232"/>
      <c r="E325" s="1236"/>
      <c r="F325" s="1230">
        <f>SUM(G325:J325)</f>
        <v>0</v>
      </c>
      <c r="G325" s="1230"/>
      <c r="H325" s="1230"/>
      <c r="I325" s="1230"/>
      <c r="J325" s="1229"/>
      <c r="K325" s="1255"/>
      <c r="L325" s="1254"/>
    </row>
    <row r="326" spans="1:12" s="1240" customFormat="1" ht="15" hidden="1" customHeight="1">
      <c r="A326" s="1235"/>
      <c r="B326" s="1234"/>
      <c r="C326" s="1233"/>
      <c r="D326" s="1232"/>
      <c r="E326" s="1231"/>
      <c r="F326" s="1230">
        <f>SUM(G326:J326)</f>
        <v>0</v>
      </c>
      <c r="G326" s="1230"/>
      <c r="H326" s="1230"/>
      <c r="I326" s="1230"/>
      <c r="J326" s="1229"/>
      <c r="K326" s="1255"/>
      <c r="L326" s="1254"/>
    </row>
    <row r="327" spans="1:12" s="1240" customFormat="1" ht="22.5">
      <c r="A327" s="4692" t="s">
        <v>597</v>
      </c>
      <c r="B327" s="4693" t="s">
        <v>596</v>
      </c>
      <c r="C327" s="4694">
        <v>921</v>
      </c>
      <c r="D327" s="4705" t="s">
        <v>595</v>
      </c>
      <c r="E327" s="1253" t="s">
        <v>435</v>
      </c>
      <c r="F327" s="1252">
        <f>SUM(F328,F335)</f>
        <v>450000</v>
      </c>
      <c r="G327" s="1252">
        <f>SUM(G328,G335)</f>
        <v>450000</v>
      </c>
      <c r="H327" s="1252">
        <f>SUM(H328,H335)</f>
        <v>0</v>
      </c>
      <c r="I327" s="1252">
        <f>SUM(I328,I335)</f>
        <v>0</v>
      </c>
      <c r="J327" s="1251">
        <f>SUM(J328,J335)</f>
        <v>0</v>
      </c>
      <c r="K327" s="1255"/>
      <c r="L327" s="1254"/>
    </row>
    <row r="328" spans="1:12" s="1240" customFormat="1" ht="15" customHeight="1">
      <c r="A328" s="4692"/>
      <c r="B328" s="4693"/>
      <c r="C328" s="4694"/>
      <c r="D328" s="4705"/>
      <c r="E328" s="1250" t="s">
        <v>541</v>
      </c>
      <c r="F328" s="1238">
        <f>SUM(F329,F332)</f>
        <v>0</v>
      </c>
      <c r="G328" s="1238">
        <f>SUM(G329,G332)</f>
        <v>0</v>
      </c>
      <c r="H328" s="1238">
        <f>SUM(H329,H332)</f>
        <v>0</v>
      </c>
      <c r="I328" s="1238">
        <f>SUM(I329,I332)</f>
        <v>0</v>
      </c>
      <c r="J328" s="1237">
        <f>SUM(J329,J332)</f>
        <v>0</v>
      </c>
      <c r="K328" s="1255"/>
      <c r="L328" s="1254"/>
    </row>
    <row r="329" spans="1:12" s="1240" customFormat="1" ht="22.5" hidden="1">
      <c r="A329" s="4692"/>
      <c r="B329" s="4693"/>
      <c r="C329" s="4694"/>
      <c r="D329" s="4705"/>
      <c r="E329" s="1248" t="s">
        <v>432</v>
      </c>
      <c r="F329" s="1247">
        <f>SUM(F330:F331)</f>
        <v>0</v>
      </c>
      <c r="G329" s="1247">
        <f>SUM(G330:G331)</f>
        <v>0</v>
      </c>
      <c r="H329" s="1247">
        <f>SUM(H330:H331)</f>
        <v>0</v>
      </c>
      <c r="I329" s="1247">
        <f>SUM(I330:I331)</f>
        <v>0</v>
      </c>
      <c r="J329" s="1246">
        <f>SUM(J330:J331)</f>
        <v>0</v>
      </c>
      <c r="K329" s="1255"/>
      <c r="L329" s="1254"/>
    </row>
    <row r="330" spans="1:12" s="1240" customFormat="1" ht="15" hidden="1" customHeight="1">
      <c r="A330" s="4692"/>
      <c r="B330" s="4693"/>
      <c r="C330" s="4694"/>
      <c r="D330" s="4705"/>
      <c r="E330" s="1249"/>
      <c r="F330" s="1244">
        <f>SUM(G330:J330)</f>
        <v>0</v>
      </c>
      <c r="G330" s="1244"/>
      <c r="H330" s="1244"/>
      <c r="I330" s="1244"/>
      <c r="J330" s="1243"/>
      <c r="K330" s="1255"/>
      <c r="L330" s="1254"/>
    </row>
    <row r="331" spans="1:12" s="1240" customFormat="1" ht="15" hidden="1" customHeight="1">
      <c r="A331" s="4692"/>
      <c r="B331" s="4693"/>
      <c r="C331" s="4694"/>
      <c r="D331" s="4705"/>
      <c r="E331" s="1249"/>
      <c r="F331" s="1244">
        <f>SUM(G331:J331)</f>
        <v>0</v>
      </c>
      <c r="G331" s="1244"/>
      <c r="H331" s="1244"/>
      <c r="I331" s="1244"/>
      <c r="J331" s="1243"/>
      <c r="K331" s="1255"/>
      <c r="L331" s="1254"/>
    </row>
    <row r="332" spans="1:12" s="1240" customFormat="1" ht="22.5" hidden="1">
      <c r="A332" s="4692"/>
      <c r="B332" s="4693"/>
      <c r="C332" s="4694"/>
      <c r="D332" s="4705"/>
      <c r="E332" s="1248" t="s">
        <v>427</v>
      </c>
      <c r="F332" s="1247">
        <f>SUM(F333:F334)</f>
        <v>0</v>
      </c>
      <c r="G332" s="1247">
        <f>SUM(G333:G334)</f>
        <v>0</v>
      </c>
      <c r="H332" s="1247">
        <f>SUM(H333:H334)</f>
        <v>0</v>
      </c>
      <c r="I332" s="1247">
        <f>SUM(I333:I334)</f>
        <v>0</v>
      </c>
      <c r="J332" s="1246">
        <f>SUM(J333:J334)</f>
        <v>0</v>
      </c>
      <c r="K332" s="1255"/>
      <c r="L332" s="1254"/>
    </row>
    <row r="333" spans="1:12" s="1240" customFormat="1" ht="15" hidden="1" customHeight="1">
      <c r="A333" s="4692"/>
      <c r="B333" s="4693"/>
      <c r="C333" s="4694"/>
      <c r="D333" s="4705"/>
      <c r="E333" s="1249"/>
      <c r="F333" s="1244">
        <f>SUM(G333:J333)</f>
        <v>0</v>
      </c>
      <c r="G333" s="1244"/>
      <c r="H333" s="1244"/>
      <c r="I333" s="1244"/>
      <c r="J333" s="1243"/>
      <c r="K333" s="1255"/>
      <c r="L333" s="1254"/>
    </row>
    <row r="334" spans="1:12" s="1240" customFormat="1" ht="15" hidden="1" customHeight="1">
      <c r="A334" s="4692"/>
      <c r="B334" s="4693"/>
      <c r="C334" s="4694"/>
      <c r="D334" s="4705"/>
      <c r="E334" s="1249"/>
      <c r="F334" s="1244">
        <f>SUM(G334:J334)</f>
        <v>0</v>
      </c>
      <c r="G334" s="1244">
        <f>140000-140000</f>
        <v>0</v>
      </c>
      <c r="H334" s="1244"/>
      <c r="I334" s="1244"/>
      <c r="J334" s="1243"/>
      <c r="K334" s="1255"/>
      <c r="L334" s="1254"/>
    </row>
    <row r="335" spans="1:12" s="1240" customFormat="1" ht="15" customHeight="1">
      <c r="A335" s="4692"/>
      <c r="B335" s="4693"/>
      <c r="C335" s="4694"/>
      <c r="D335" s="4705"/>
      <c r="E335" s="1239" t="s">
        <v>423</v>
      </c>
      <c r="F335" s="1238">
        <f>SUM(F336:F337)</f>
        <v>450000</v>
      </c>
      <c r="G335" s="1238">
        <f>SUM(G336:G337)</f>
        <v>450000</v>
      </c>
      <c r="H335" s="1238">
        <f>SUM(H336:H337)</f>
        <v>0</v>
      </c>
      <c r="I335" s="1238">
        <f>SUM(I336:I337)</f>
        <v>0</v>
      </c>
      <c r="J335" s="1237">
        <f>SUM(J336:J337)</f>
        <v>0</v>
      </c>
      <c r="K335" s="1255"/>
      <c r="L335" s="1254"/>
    </row>
    <row r="336" spans="1:12" s="1240" customFormat="1" ht="15" customHeight="1">
      <c r="A336" s="4692"/>
      <c r="B336" s="4693"/>
      <c r="C336" s="4694"/>
      <c r="D336" s="4705"/>
      <c r="E336" s="1249" t="s">
        <v>594</v>
      </c>
      <c r="F336" s="1244">
        <f>SUM(G336:J336)</f>
        <v>100000</v>
      </c>
      <c r="G336" s="1244">
        <v>100000</v>
      </c>
      <c r="H336" s="1244"/>
      <c r="I336" s="1244"/>
      <c r="J336" s="1243"/>
      <c r="K336" s="1255"/>
      <c r="L336" s="1254"/>
    </row>
    <row r="337" spans="1:17" s="1240" customFormat="1" ht="15" customHeight="1">
      <c r="A337" s="4692"/>
      <c r="B337" s="4693"/>
      <c r="C337" s="4694"/>
      <c r="D337" s="4705"/>
      <c r="E337" s="1281">
        <v>6229</v>
      </c>
      <c r="F337" s="1244">
        <f>SUM(G337:J337)</f>
        <v>350000</v>
      </c>
      <c r="G337" s="1244">
        <v>350000</v>
      </c>
      <c r="H337" s="1244"/>
      <c r="I337" s="1244"/>
      <c r="J337" s="1243"/>
      <c r="K337" s="1255"/>
      <c r="L337" s="1254"/>
    </row>
    <row r="338" spans="1:17" s="1240" customFormat="1" ht="22.5">
      <c r="A338" s="4692" t="s">
        <v>593</v>
      </c>
      <c r="B338" s="4693" t="s">
        <v>592</v>
      </c>
      <c r="C338" s="4705" t="s">
        <v>21</v>
      </c>
      <c r="D338" s="4705" t="s">
        <v>33</v>
      </c>
      <c r="E338" s="1253" t="s">
        <v>435</v>
      </c>
      <c r="F338" s="1252">
        <f>SUM(F339,F378)</f>
        <v>8810000</v>
      </c>
      <c r="G338" s="1252">
        <f>SUM(G339,G378)</f>
        <v>0</v>
      </c>
      <c r="H338" s="1252">
        <f>SUM(H339,H378)</f>
        <v>0</v>
      </c>
      <c r="I338" s="1252">
        <f>SUM(I339,I378)</f>
        <v>8810000</v>
      </c>
      <c r="J338" s="1251">
        <f>SUM(J339,J378)</f>
        <v>0</v>
      </c>
      <c r="K338" s="1242"/>
      <c r="L338" s="1254"/>
    </row>
    <row r="339" spans="1:17" s="1240" customFormat="1" ht="21">
      <c r="A339" s="4692"/>
      <c r="B339" s="4693"/>
      <c r="C339" s="4705"/>
      <c r="D339" s="4705"/>
      <c r="E339" s="1250" t="s">
        <v>434</v>
      </c>
      <c r="F339" s="1238">
        <f>SUM(F340,F345,F358)</f>
        <v>8810000</v>
      </c>
      <c r="G339" s="1238">
        <f>SUM(G340,G345,G358)</f>
        <v>0</v>
      </c>
      <c r="H339" s="1238">
        <f>SUM(H340,H345,H358)</f>
        <v>0</v>
      </c>
      <c r="I339" s="1238">
        <f>SUM(I340,I345,I358)</f>
        <v>8810000</v>
      </c>
      <c r="J339" s="1237">
        <f>SUM(J340,J345,J358)</f>
        <v>0</v>
      </c>
      <c r="K339" s="1276"/>
      <c r="L339" s="1254"/>
    </row>
    <row r="340" spans="1:17" s="1240" customFormat="1" ht="15" hidden="1" customHeight="1">
      <c r="A340" s="4692"/>
      <c r="B340" s="4693"/>
      <c r="C340" s="4705"/>
      <c r="D340" s="4705"/>
      <c r="E340" s="1248" t="s">
        <v>433</v>
      </c>
      <c r="F340" s="1247">
        <f>SUM(F341:F344)</f>
        <v>0</v>
      </c>
      <c r="G340" s="1247">
        <f>SUM(G341:G344)</f>
        <v>0</v>
      </c>
      <c r="H340" s="1247">
        <f>SUM(H341:H344)</f>
        <v>0</v>
      </c>
      <c r="I340" s="1247">
        <f>SUM(I341:I344)</f>
        <v>0</v>
      </c>
      <c r="J340" s="1246">
        <f>SUM(J341:J344)</f>
        <v>0</v>
      </c>
      <c r="K340" s="1242"/>
      <c r="L340" s="1254"/>
    </row>
    <row r="341" spans="1:17" s="1240" customFormat="1" ht="15" hidden="1" customHeight="1">
      <c r="A341" s="4692"/>
      <c r="B341" s="4693"/>
      <c r="C341" s="4705"/>
      <c r="D341" s="4705"/>
      <c r="E341" s="1249" t="s">
        <v>480</v>
      </c>
      <c r="F341" s="1244">
        <f>SUM(G341:J341)</f>
        <v>0</v>
      </c>
      <c r="G341" s="1244"/>
      <c r="H341" s="1244"/>
      <c r="I341" s="1244"/>
      <c r="J341" s="1243"/>
      <c r="K341" s="1242"/>
      <c r="L341" s="1254"/>
    </row>
    <row r="342" spans="1:17" s="1240" customFormat="1" ht="15" hidden="1" customHeight="1">
      <c r="A342" s="4692"/>
      <c r="B342" s="4693"/>
      <c r="C342" s="4705"/>
      <c r="D342" s="4705"/>
      <c r="E342" s="1249" t="s">
        <v>359</v>
      </c>
      <c r="F342" s="1244">
        <f>SUM(G342:J342)</f>
        <v>0</v>
      </c>
      <c r="G342" s="1244"/>
      <c r="H342" s="1244"/>
      <c r="I342" s="1244"/>
      <c r="J342" s="1243"/>
      <c r="K342" s="1242"/>
      <c r="L342" s="1254"/>
    </row>
    <row r="343" spans="1:17" s="1240" customFormat="1" ht="15" hidden="1" customHeight="1">
      <c r="A343" s="4692"/>
      <c r="B343" s="4693"/>
      <c r="C343" s="4705"/>
      <c r="D343" s="4705"/>
      <c r="E343" s="1249" t="s">
        <v>174</v>
      </c>
      <c r="F343" s="1244">
        <f>SUM(G343:J343)</f>
        <v>0</v>
      </c>
      <c r="G343" s="1244"/>
      <c r="H343" s="1244"/>
      <c r="I343" s="1244"/>
      <c r="J343" s="1243"/>
      <c r="K343" s="1242"/>
      <c r="L343" s="1254"/>
    </row>
    <row r="344" spans="1:17" s="1240" customFormat="1" ht="15" hidden="1" customHeight="1">
      <c r="A344" s="4692"/>
      <c r="B344" s="4693"/>
      <c r="C344" s="4705"/>
      <c r="D344" s="4705"/>
      <c r="E344" s="1249" t="s">
        <v>185</v>
      </c>
      <c r="F344" s="1244">
        <f>SUM(G344:J344)</f>
        <v>0</v>
      </c>
      <c r="G344" s="1244"/>
      <c r="H344" s="1244"/>
      <c r="I344" s="1244"/>
      <c r="J344" s="1243"/>
      <c r="K344" s="1242"/>
      <c r="L344" s="1254"/>
    </row>
    <row r="345" spans="1:17" s="1256" customFormat="1" ht="22.5">
      <c r="A345" s="4692"/>
      <c r="B345" s="4693"/>
      <c r="C345" s="4705"/>
      <c r="D345" s="4705"/>
      <c r="E345" s="1248" t="s">
        <v>432</v>
      </c>
      <c r="F345" s="1247">
        <f>SUM(F346:F357)</f>
        <v>6510000</v>
      </c>
      <c r="G345" s="1247">
        <f>SUM(G346:G357)</f>
        <v>0</v>
      </c>
      <c r="H345" s="1247">
        <f>SUM(H346:H357)</f>
        <v>0</v>
      </c>
      <c r="I345" s="1247">
        <f>SUM(I346:I357)</f>
        <v>6510000</v>
      </c>
      <c r="J345" s="1246">
        <f>SUM(J346:J357)</f>
        <v>0</v>
      </c>
      <c r="K345" s="1306"/>
      <c r="L345" s="1254"/>
      <c r="M345" s="1240"/>
      <c r="N345" s="1240"/>
      <c r="O345" s="1240"/>
      <c r="P345" s="1240"/>
      <c r="Q345" s="1240"/>
    </row>
    <row r="346" spans="1:17" s="1256" customFormat="1" ht="15" customHeight="1">
      <c r="A346" s="4692"/>
      <c r="B346" s="4693"/>
      <c r="C346" s="4705"/>
      <c r="D346" s="4705"/>
      <c r="E346" s="1249" t="s">
        <v>479</v>
      </c>
      <c r="F346" s="1244">
        <f t="shared" ref="F346:F357" si="12">SUM(G346:J346)</f>
        <v>3161610</v>
      </c>
      <c r="G346" s="1244"/>
      <c r="H346" s="1244"/>
      <c r="I346" s="1244">
        <v>3161610</v>
      </c>
      <c r="J346" s="1243"/>
      <c r="K346" s="1276"/>
      <c r="L346" s="1254"/>
      <c r="M346" s="1240"/>
      <c r="N346" s="1240"/>
      <c r="O346" s="1240"/>
      <c r="P346" s="1240"/>
      <c r="Q346" s="1240"/>
    </row>
    <row r="347" spans="1:17" s="1256" customFormat="1" ht="15" customHeight="1">
      <c r="A347" s="4692"/>
      <c r="B347" s="4693"/>
      <c r="C347" s="4705"/>
      <c r="D347" s="4705"/>
      <c r="E347" s="1249" t="s">
        <v>461</v>
      </c>
      <c r="F347" s="1244">
        <f t="shared" si="12"/>
        <v>1808390</v>
      </c>
      <c r="G347" s="1244"/>
      <c r="H347" s="1244"/>
      <c r="I347" s="1244">
        <v>1808390</v>
      </c>
      <c r="J347" s="1243"/>
      <c r="K347" s="1276"/>
      <c r="L347" s="1254"/>
      <c r="M347" s="1240"/>
      <c r="N347" s="1240"/>
      <c r="O347" s="1240"/>
      <c r="P347" s="1240"/>
      <c r="Q347" s="1240"/>
    </row>
    <row r="348" spans="1:17" s="1256" customFormat="1" ht="15" customHeight="1">
      <c r="A348" s="4692"/>
      <c r="B348" s="4693"/>
      <c r="C348" s="4705"/>
      <c r="D348" s="4705"/>
      <c r="E348" s="1249" t="s">
        <v>536</v>
      </c>
      <c r="F348" s="1244">
        <f t="shared" si="12"/>
        <v>254520</v>
      </c>
      <c r="G348" s="1244"/>
      <c r="H348" s="1244"/>
      <c r="I348" s="1244">
        <v>254520</v>
      </c>
      <c r="J348" s="1243"/>
      <c r="K348" s="1306"/>
      <c r="L348" s="1254"/>
      <c r="M348" s="1240"/>
      <c r="N348" s="1240"/>
      <c r="O348" s="1240"/>
      <c r="P348" s="1240"/>
      <c r="Q348" s="1240"/>
    </row>
    <row r="349" spans="1:17" s="1256" customFormat="1" ht="15" customHeight="1">
      <c r="A349" s="4692"/>
      <c r="B349" s="4693"/>
      <c r="C349" s="4705"/>
      <c r="D349" s="4705"/>
      <c r="E349" s="1249" t="s">
        <v>493</v>
      </c>
      <c r="F349" s="1244">
        <f t="shared" si="12"/>
        <v>145480</v>
      </c>
      <c r="G349" s="1244"/>
      <c r="H349" s="1244"/>
      <c r="I349" s="1244">
        <v>145480</v>
      </c>
      <c r="J349" s="1243"/>
      <c r="K349" s="1242"/>
      <c r="L349" s="1254"/>
      <c r="M349" s="1240"/>
      <c r="N349" s="1240"/>
      <c r="O349" s="1240"/>
      <c r="P349" s="1240"/>
      <c r="Q349" s="1240"/>
    </row>
    <row r="350" spans="1:17" s="1256" customFormat="1" ht="15" customHeight="1">
      <c r="A350" s="4692"/>
      <c r="B350" s="4693"/>
      <c r="C350" s="4705"/>
      <c r="D350" s="4705"/>
      <c r="E350" s="1249" t="s">
        <v>478</v>
      </c>
      <c r="F350" s="1244">
        <f t="shared" si="12"/>
        <v>604485</v>
      </c>
      <c r="G350" s="1244"/>
      <c r="H350" s="1244"/>
      <c r="I350" s="1244">
        <v>604485</v>
      </c>
      <c r="J350" s="1243"/>
      <c r="K350" s="1242"/>
      <c r="L350" s="1254"/>
      <c r="M350" s="1240"/>
      <c r="N350" s="1240"/>
      <c r="O350" s="1240"/>
      <c r="P350" s="1240"/>
      <c r="Q350" s="1240"/>
    </row>
    <row r="351" spans="1:17" s="1240" customFormat="1" ht="15" customHeight="1">
      <c r="A351" s="4692"/>
      <c r="B351" s="4693"/>
      <c r="C351" s="4705"/>
      <c r="D351" s="4705"/>
      <c r="E351" s="1249" t="s">
        <v>459</v>
      </c>
      <c r="F351" s="1244">
        <f t="shared" si="12"/>
        <v>345515</v>
      </c>
      <c r="G351" s="1244"/>
      <c r="H351" s="1244"/>
      <c r="I351" s="1244">
        <v>345515</v>
      </c>
      <c r="J351" s="1243"/>
      <c r="K351" s="1242"/>
      <c r="L351" s="1254"/>
    </row>
    <row r="352" spans="1:17" s="1240" customFormat="1" ht="15" customHeight="1">
      <c r="A352" s="4692"/>
      <c r="B352" s="4693"/>
      <c r="C352" s="4705"/>
      <c r="D352" s="4705"/>
      <c r="E352" s="1249" t="s">
        <v>477</v>
      </c>
      <c r="F352" s="1244">
        <f t="shared" si="12"/>
        <v>89082</v>
      </c>
      <c r="G352" s="1244"/>
      <c r="H352" s="1244"/>
      <c r="I352" s="1244">
        <v>89082</v>
      </c>
      <c r="J352" s="1243"/>
      <c r="K352" s="1242"/>
      <c r="L352" s="1254"/>
    </row>
    <row r="353" spans="1:12" s="1240" customFormat="1" ht="15" customHeight="1">
      <c r="A353" s="4692"/>
      <c r="B353" s="4693"/>
      <c r="C353" s="4705"/>
      <c r="D353" s="4705"/>
      <c r="E353" s="1249" t="s">
        <v>457</v>
      </c>
      <c r="F353" s="1244">
        <f t="shared" si="12"/>
        <v>50918</v>
      </c>
      <c r="G353" s="1244"/>
      <c r="H353" s="1244"/>
      <c r="I353" s="1244">
        <v>50918</v>
      </c>
      <c r="J353" s="1243"/>
      <c r="K353" s="1242"/>
      <c r="L353" s="1254"/>
    </row>
    <row r="354" spans="1:12" s="1240" customFormat="1" ht="15" customHeight="1">
      <c r="A354" s="4692"/>
      <c r="B354" s="4693"/>
      <c r="C354" s="4705"/>
      <c r="D354" s="4705"/>
      <c r="E354" s="1249" t="s">
        <v>535</v>
      </c>
      <c r="F354" s="1244">
        <f t="shared" si="12"/>
        <v>6363</v>
      </c>
      <c r="G354" s="1244"/>
      <c r="H354" s="1244"/>
      <c r="I354" s="1244">
        <v>6363</v>
      </c>
      <c r="J354" s="1243"/>
      <c r="K354" s="1242"/>
      <c r="L354" s="1254"/>
    </row>
    <row r="355" spans="1:12" s="1240" customFormat="1" ht="15" customHeight="1">
      <c r="A355" s="4692"/>
      <c r="B355" s="4693"/>
      <c r="C355" s="4705"/>
      <c r="D355" s="4705"/>
      <c r="E355" s="1249" t="s">
        <v>455</v>
      </c>
      <c r="F355" s="1244">
        <f t="shared" si="12"/>
        <v>3637</v>
      </c>
      <c r="G355" s="1244"/>
      <c r="H355" s="1244"/>
      <c r="I355" s="1244">
        <v>3637</v>
      </c>
      <c r="J355" s="1243"/>
      <c r="K355" s="1242"/>
      <c r="L355" s="1254"/>
    </row>
    <row r="356" spans="1:12" s="1240" customFormat="1" ht="15" customHeight="1">
      <c r="A356" s="4692"/>
      <c r="B356" s="4693"/>
      <c r="C356" s="4705"/>
      <c r="D356" s="4705"/>
      <c r="E356" s="1249" t="s">
        <v>476</v>
      </c>
      <c r="F356" s="1244">
        <f t="shared" si="12"/>
        <v>25452</v>
      </c>
      <c r="G356" s="1244"/>
      <c r="H356" s="1244"/>
      <c r="I356" s="1244">
        <v>25452</v>
      </c>
      <c r="J356" s="1243"/>
      <c r="K356" s="1242"/>
      <c r="L356" s="1254"/>
    </row>
    <row r="357" spans="1:12" s="1240" customFormat="1" ht="15" customHeight="1">
      <c r="A357" s="4692"/>
      <c r="B357" s="4693"/>
      <c r="C357" s="4705"/>
      <c r="D357" s="4705"/>
      <c r="E357" s="1249" t="s">
        <v>453</v>
      </c>
      <c r="F357" s="1244">
        <f t="shared" si="12"/>
        <v>14548</v>
      </c>
      <c r="G357" s="1244"/>
      <c r="H357" s="1244"/>
      <c r="I357" s="1244">
        <v>14548</v>
      </c>
      <c r="J357" s="1243"/>
      <c r="K357" s="1242"/>
      <c r="L357" s="1254"/>
    </row>
    <row r="358" spans="1:12" s="1240" customFormat="1" ht="22.5">
      <c r="A358" s="4692"/>
      <c r="B358" s="4693"/>
      <c r="C358" s="4705"/>
      <c r="D358" s="4705"/>
      <c r="E358" s="1248" t="s">
        <v>427</v>
      </c>
      <c r="F358" s="1247">
        <f>SUM(F359:F377)</f>
        <v>2300000</v>
      </c>
      <c r="G358" s="1247">
        <f>SUM(G359:G377)</f>
        <v>0</v>
      </c>
      <c r="H358" s="1247">
        <f>SUM(H359:H377)</f>
        <v>0</v>
      </c>
      <c r="I358" s="1247">
        <f>SUM(I359:I377)</f>
        <v>2300000</v>
      </c>
      <c r="J358" s="1246">
        <f>SUM(J359:J377)</f>
        <v>0</v>
      </c>
      <c r="K358" s="1242"/>
      <c r="L358" s="1254"/>
    </row>
    <row r="359" spans="1:12" s="1240" customFormat="1" ht="15" customHeight="1">
      <c r="A359" s="4692"/>
      <c r="B359" s="4693"/>
      <c r="C359" s="4705"/>
      <c r="D359" s="4705"/>
      <c r="E359" s="1245" t="s">
        <v>588</v>
      </c>
      <c r="F359" s="1244">
        <f t="shared" ref="F359:F377" si="13">SUM(G359:J359)</f>
        <v>190890</v>
      </c>
      <c r="G359" s="1244"/>
      <c r="H359" s="1244"/>
      <c r="I359" s="1244">
        <v>190890</v>
      </c>
      <c r="J359" s="1243"/>
      <c r="K359" s="1242"/>
      <c r="L359" s="1254"/>
    </row>
    <row r="360" spans="1:12" s="1240" customFormat="1" ht="15" customHeight="1">
      <c r="A360" s="4692"/>
      <c r="B360" s="4693"/>
      <c r="C360" s="4705"/>
      <c r="D360" s="4705"/>
      <c r="E360" s="1245" t="s">
        <v>587</v>
      </c>
      <c r="F360" s="1244">
        <f t="shared" si="13"/>
        <v>109110</v>
      </c>
      <c r="G360" s="1244"/>
      <c r="H360" s="1244"/>
      <c r="I360" s="1244">
        <v>109110</v>
      </c>
      <c r="J360" s="1243"/>
      <c r="K360" s="1242"/>
      <c r="L360" s="1254"/>
    </row>
    <row r="361" spans="1:12" s="1240" customFormat="1" ht="15" customHeight="1">
      <c r="A361" s="4692"/>
      <c r="B361" s="4693"/>
      <c r="C361" s="4705"/>
      <c r="D361" s="4705"/>
      <c r="E361" s="1249" t="s">
        <v>533</v>
      </c>
      <c r="F361" s="1244">
        <f t="shared" si="13"/>
        <v>463226</v>
      </c>
      <c r="G361" s="1244"/>
      <c r="H361" s="1244"/>
      <c r="I361" s="1244">
        <v>463226</v>
      </c>
      <c r="J361" s="1243"/>
      <c r="K361" s="1242"/>
      <c r="L361" s="1254"/>
    </row>
    <row r="362" spans="1:12" s="1240" customFormat="1" ht="15" customHeight="1">
      <c r="A362" s="4692"/>
      <c r="B362" s="4693"/>
      <c r="C362" s="4705"/>
      <c r="D362" s="4705"/>
      <c r="E362" s="1249" t="s">
        <v>449</v>
      </c>
      <c r="F362" s="1244">
        <f t="shared" si="13"/>
        <v>264774</v>
      </c>
      <c r="G362" s="1244"/>
      <c r="H362" s="1244"/>
      <c r="I362" s="1244">
        <v>264774</v>
      </c>
      <c r="J362" s="1243"/>
      <c r="K362" s="1242"/>
      <c r="L362" s="1254"/>
    </row>
    <row r="363" spans="1:12" s="1240" customFormat="1" ht="15" customHeight="1">
      <c r="A363" s="4692"/>
      <c r="B363" s="4693"/>
      <c r="C363" s="4705"/>
      <c r="D363" s="4705"/>
      <c r="E363" s="1249" t="s">
        <v>531</v>
      </c>
      <c r="F363" s="1244">
        <f t="shared" si="13"/>
        <v>13362</v>
      </c>
      <c r="G363" s="1244"/>
      <c r="H363" s="1244"/>
      <c r="I363" s="1244">
        <v>13362</v>
      </c>
      <c r="J363" s="1243"/>
      <c r="K363" s="1242"/>
      <c r="L363" s="1254"/>
    </row>
    <row r="364" spans="1:12" s="1240" customFormat="1" ht="15" customHeight="1">
      <c r="A364" s="4692"/>
      <c r="B364" s="4693"/>
      <c r="C364" s="4705"/>
      <c r="D364" s="4705"/>
      <c r="E364" s="1249" t="s">
        <v>513</v>
      </c>
      <c r="F364" s="1244">
        <f t="shared" si="13"/>
        <v>7638</v>
      </c>
      <c r="G364" s="1244"/>
      <c r="H364" s="1244"/>
      <c r="I364" s="1244">
        <v>7638</v>
      </c>
      <c r="J364" s="1243"/>
      <c r="K364" s="1242"/>
      <c r="L364" s="1254"/>
    </row>
    <row r="365" spans="1:12" s="1240" customFormat="1" ht="15" customHeight="1">
      <c r="A365" s="4692"/>
      <c r="B365" s="4693"/>
      <c r="C365" s="4705"/>
      <c r="D365" s="4705"/>
      <c r="E365" s="1249" t="s">
        <v>529</v>
      </c>
      <c r="F365" s="1244">
        <f t="shared" si="13"/>
        <v>747652</v>
      </c>
      <c r="G365" s="1244"/>
      <c r="H365" s="1244"/>
      <c r="I365" s="1244">
        <v>747652</v>
      </c>
      <c r="J365" s="1243"/>
      <c r="K365" s="1242"/>
      <c r="L365" s="1254"/>
    </row>
    <row r="366" spans="1:12" s="1240" customFormat="1" ht="15" customHeight="1">
      <c r="A366" s="4692"/>
      <c r="B366" s="4693"/>
      <c r="C366" s="4705"/>
      <c r="D366" s="4705"/>
      <c r="E366" s="1249" t="s">
        <v>445</v>
      </c>
      <c r="F366" s="1244">
        <f t="shared" si="13"/>
        <v>427348</v>
      </c>
      <c r="G366" s="1244"/>
      <c r="H366" s="1244"/>
      <c r="I366" s="1244">
        <v>427348</v>
      </c>
      <c r="J366" s="1243"/>
      <c r="K366" s="1242"/>
      <c r="L366" s="1254"/>
    </row>
    <row r="367" spans="1:12" s="1240" customFormat="1" ht="15" customHeight="1">
      <c r="A367" s="4692"/>
      <c r="B367" s="4693"/>
      <c r="C367" s="4705"/>
      <c r="D367" s="4705"/>
      <c r="E367" s="1249" t="s">
        <v>591</v>
      </c>
      <c r="F367" s="1244">
        <f t="shared" si="13"/>
        <v>3181</v>
      </c>
      <c r="G367" s="1244"/>
      <c r="H367" s="1244"/>
      <c r="I367" s="1244">
        <v>3181</v>
      </c>
      <c r="J367" s="1243"/>
      <c r="K367" s="1242"/>
      <c r="L367" s="1254"/>
    </row>
    <row r="368" spans="1:12" s="1240" customFormat="1" ht="15" customHeight="1">
      <c r="A368" s="4692"/>
      <c r="B368" s="4693"/>
      <c r="C368" s="4705"/>
      <c r="D368" s="4705"/>
      <c r="E368" s="1249" t="s">
        <v>491</v>
      </c>
      <c r="F368" s="1244">
        <f t="shared" si="13"/>
        <v>1819</v>
      </c>
      <c r="G368" s="1244"/>
      <c r="H368" s="1244"/>
      <c r="I368" s="1244">
        <v>1819</v>
      </c>
      <c r="J368" s="1243"/>
      <c r="K368" s="1242"/>
      <c r="L368" s="1254"/>
    </row>
    <row r="369" spans="1:17" s="1240" customFormat="1" ht="15" customHeight="1">
      <c r="A369" s="4692"/>
      <c r="B369" s="4693"/>
      <c r="C369" s="4705"/>
      <c r="D369" s="4705"/>
      <c r="E369" s="1249" t="s">
        <v>524</v>
      </c>
      <c r="F369" s="1244">
        <f t="shared" si="13"/>
        <v>10817</v>
      </c>
      <c r="G369" s="1244"/>
      <c r="H369" s="1244"/>
      <c r="I369" s="1244">
        <v>10817</v>
      </c>
      <c r="J369" s="1243"/>
      <c r="K369" s="1242"/>
      <c r="L369" s="1254"/>
    </row>
    <row r="370" spans="1:17" s="1240" customFormat="1" ht="15" customHeight="1">
      <c r="A370" s="4692"/>
      <c r="B370" s="4693"/>
      <c r="C370" s="4705"/>
      <c r="D370" s="4705"/>
      <c r="E370" s="1249" t="s">
        <v>466</v>
      </c>
      <c r="F370" s="1244">
        <f t="shared" si="13"/>
        <v>6183</v>
      </c>
      <c r="G370" s="1244"/>
      <c r="H370" s="1244"/>
      <c r="I370" s="1244">
        <v>6183</v>
      </c>
      <c r="J370" s="1243"/>
      <c r="K370" s="1242"/>
      <c r="L370" s="1254"/>
    </row>
    <row r="371" spans="1:17" s="1240" customFormat="1" ht="15" customHeight="1">
      <c r="A371" s="4692"/>
      <c r="B371" s="4693"/>
      <c r="C371" s="4705"/>
      <c r="D371" s="4705"/>
      <c r="E371" s="1249" t="s">
        <v>523</v>
      </c>
      <c r="F371" s="1244">
        <f t="shared" si="13"/>
        <v>12726</v>
      </c>
      <c r="G371" s="1244"/>
      <c r="H371" s="1244"/>
      <c r="I371" s="1244">
        <v>12726</v>
      </c>
      <c r="J371" s="1243"/>
      <c r="K371" s="1242"/>
      <c r="L371" s="1254"/>
    </row>
    <row r="372" spans="1:17" s="1240" customFormat="1" ht="15" customHeight="1">
      <c r="A372" s="4692"/>
      <c r="B372" s="4693"/>
      <c r="C372" s="4705"/>
      <c r="D372" s="4705"/>
      <c r="E372" s="1249" t="s">
        <v>522</v>
      </c>
      <c r="F372" s="1244">
        <f t="shared" si="13"/>
        <v>7274</v>
      </c>
      <c r="G372" s="1244"/>
      <c r="H372" s="1244"/>
      <c r="I372" s="1244">
        <v>7274</v>
      </c>
      <c r="J372" s="1243"/>
      <c r="K372" s="1242"/>
      <c r="L372" s="1254"/>
    </row>
    <row r="373" spans="1:17" s="1240" customFormat="1" ht="15" customHeight="1">
      <c r="A373" s="4692"/>
      <c r="B373" s="4693"/>
      <c r="C373" s="4705"/>
      <c r="D373" s="4705"/>
      <c r="E373" s="1249" t="s">
        <v>519</v>
      </c>
      <c r="F373" s="1244">
        <f t="shared" si="13"/>
        <v>21634</v>
      </c>
      <c r="G373" s="1244"/>
      <c r="H373" s="1244"/>
      <c r="I373" s="1244">
        <v>21634</v>
      </c>
      <c r="J373" s="1243"/>
      <c r="K373" s="1242"/>
      <c r="L373" s="1254"/>
    </row>
    <row r="374" spans="1:17" s="1240" customFormat="1" ht="15" customHeight="1">
      <c r="A374" s="4692"/>
      <c r="B374" s="4693"/>
      <c r="C374" s="4705"/>
      <c r="D374" s="4705"/>
      <c r="E374" s="1249" t="s">
        <v>485</v>
      </c>
      <c r="F374" s="1244">
        <f t="shared" si="13"/>
        <v>12366</v>
      </c>
      <c r="G374" s="1244"/>
      <c r="H374" s="1244"/>
      <c r="I374" s="1244">
        <v>12366</v>
      </c>
      <c r="J374" s="1243"/>
      <c r="K374" s="1242"/>
      <c r="L374" s="1254"/>
    </row>
    <row r="375" spans="1:17" s="1240" customFormat="1" ht="15" hidden="1" customHeight="1">
      <c r="A375" s="4692"/>
      <c r="B375" s="4693"/>
      <c r="C375" s="4705"/>
      <c r="D375" s="4705"/>
      <c r="E375" s="1249" t="s">
        <v>364</v>
      </c>
      <c r="F375" s="1244">
        <f t="shared" si="13"/>
        <v>0</v>
      </c>
      <c r="G375" s="1244"/>
      <c r="H375" s="1244"/>
      <c r="I375" s="1244"/>
      <c r="J375" s="1243"/>
      <c r="K375" s="1242"/>
      <c r="L375" s="1254"/>
    </row>
    <row r="376" spans="1:17" s="1240" customFormat="1" ht="15" hidden="1" customHeight="1">
      <c r="A376" s="4692"/>
      <c r="B376" s="4693"/>
      <c r="C376" s="4705"/>
      <c r="D376" s="4705"/>
      <c r="E376" s="1249" t="s">
        <v>300</v>
      </c>
      <c r="F376" s="1244">
        <f t="shared" si="13"/>
        <v>0</v>
      </c>
      <c r="G376" s="1244"/>
      <c r="H376" s="1244"/>
      <c r="I376" s="1244"/>
      <c r="J376" s="1243"/>
      <c r="K376" s="1242"/>
      <c r="L376" s="1254"/>
    </row>
    <row r="377" spans="1:17" s="1240" customFormat="1" ht="15" hidden="1" customHeight="1">
      <c r="A377" s="4692"/>
      <c r="B377" s="4693"/>
      <c r="C377" s="4705"/>
      <c r="D377" s="4705"/>
      <c r="E377" s="1249" t="s">
        <v>488</v>
      </c>
      <c r="F377" s="1244">
        <f t="shared" si="13"/>
        <v>0</v>
      </c>
      <c r="G377" s="1244"/>
      <c r="H377" s="1244"/>
      <c r="I377" s="1244"/>
      <c r="J377" s="1243"/>
      <c r="K377" s="1242"/>
      <c r="L377" s="1254"/>
    </row>
    <row r="378" spans="1:17" s="1240" customFormat="1" ht="15" customHeight="1">
      <c r="A378" s="4692"/>
      <c r="B378" s="4693"/>
      <c r="C378" s="4705"/>
      <c r="D378" s="4705"/>
      <c r="E378" s="1239" t="s">
        <v>423</v>
      </c>
      <c r="F378" s="1238">
        <f>SUM(F379:F380)</f>
        <v>0</v>
      </c>
      <c r="G378" s="1238">
        <f>SUM(G379:G380)</f>
        <v>0</v>
      </c>
      <c r="H378" s="1238">
        <f>SUM(H379:H380)</f>
        <v>0</v>
      </c>
      <c r="I378" s="1238">
        <f>SUM(I379:I380)</f>
        <v>0</v>
      </c>
      <c r="J378" s="1237">
        <f>SUM(J379:J380)</f>
        <v>0</v>
      </c>
      <c r="K378" s="1242"/>
      <c r="L378" s="1254"/>
    </row>
    <row r="379" spans="1:17" s="1240" customFormat="1" ht="15" hidden="1" customHeight="1">
      <c r="A379" s="1235"/>
      <c r="B379" s="1234"/>
      <c r="C379" s="1232"/>
      <c r="D379" s="1232"/>
      <c r="E379" s="1236"/>
      <c r="F379" s="1230">
        <f>SUM(G379:J379)</f>
        <v>0</v>
      </c>
      <c r="G379" s="1230"/>
      <c r="H379" s="1230"/>
      <c r="I379" s="1230"/>
      <c r="J379" s="1229"/>
      <c r="K379" s="1255"/>
      <c r="L379" s="1254"/>
    </row>
    <row r="380" spans="1:17" s="1240" customFormat="1" ht="15" hidden="1" customHeight="1">
      <c r="A380" s="1235"/>
      <c r="B380" s="1234"/>
      <c r="C380" s="1232"/>
      <c r="D380" s="1232"/>
      <c r="E380" s="1231"/>
      <c r="F380" s="1230">
        <f>SUM(G380:J380)</f>
        <v>0</v>
      </c>
      <c r="G380" s="1230"/>
      <c r="H380" s="1230"/>
      <c r="I380" s="1230"/>
      <c r="J380" s="1229"/>
      <c r="K380" s="1255"/>
      <c r="L380" s="1254"/>
    </row>
    <row r="381" spans="1:17" s="1256" customFormat="1" ht="22.5">
      <c r="A381" s="4692" t="s">
        <v>590</v>
      </c>
      <c r="B381" s="4693" t="s">
        <v>589</v>
      </c>
      <c r="C381" s="4705" t="s">
        <v>55</v>
      </c>
      <c r="D381" s="4705" t="s">
        <v>57</v>
      </c>
      <c r="E381" s="1253" t="s">
        <v>435</v>
      </c>
      <c r="F381" s="1252">
        <f>SUM(F382,F412)</f>
        <v>400000</v>
      </c>
      <c r="G381" s="1252">
        <f>SUM(G382,G412)</f>
        <v>0</v>
      </c>
      <c r="H381" s="1252">
        <f>SUM(H382,H412)</f>
        <v>0</v>
      </c>
      <c r="I381" s="1252">
        <f>SUM(I382,I412)</f>
        <v>400000</v>
      </c>
      <c r="J381" s="1251">
        <f>SUM(J382,J412)</f>
        <v>0</v>
      </c>
      <c r="K381" s="1306"/>
      <c r="L381" s="1254"/>
      <c r="M381" s="1240"/>
      <c r="N381" s="1240"/>
      <c r="O381" s="1240"/>
      <c r="P381" s="1240"/>
      <c r="Q381" s="1240"/>
    </row>
    <row r="382" spans="1:17" s="1256" customFormat="1" ht="21">
      <c r="A382" s="4692"/>
      <c r="B382" s="4693"/>
      <c r="C382" s="4705"/>
      <c r="D382" s="4705"/>
      <c r="E382" s="1250" t="s">
        <v>434</v>
      </c>
      <c r="F382" s="1238">
        <f>SUM(F383,F394)</f>
        <v>400000</v>
      </c>
      <c r="G382" s="1238">
        <f>SUM(G383,G394)</f>
        <v>0</v>
      </c>
      <c r="H382" s="1238">
        <f>SUM(H383,H394)</f>
        <v>0</v>
      </c>
      <c r="I382" s="1238">
        <f>SUM(I383,I394)</f>
        <v>400000</v>
      </c>
      <c r="J382" s="1237">
        <f>SUM(J383,J394)</f>
        <v>0</v>
      </c>
      <c r="K382" s="1276"/>
      <c r="L382" s="1254"/>
      <c r="M382" s="1240"/>
      <c r="N382" s="1240"/>
      <c r="O382" s="1240"/>
      <c r="P382" s="1240"/>
      <c r="Q382" s="1240"/>
    </row>
    <row r="383" spans="1:17" s="1256" customFormat="1" ht="22.5">
      <c r="A383" s="4692"/>
      <c r="B383" s="4693"/>
      <c r="C383" s="4705"/>
      <c r="D383" s="4705"/>
      <c r="E383" s="1248" t="s">
        <v>432</v>
      </c>
      <c r="F383" s="1247">
        <f>SUM(F384:F393)</f>
        <v>300000</v>
      </c>
      <c r="G383" s="1247">
        <f>SUM(G384:G393)</f>
        <v>0</v>
      </c>
      <c r="H383" s="1247">
        <f>SUM(H384:H393)</f>
        <v>0</v>
      </c>
      <c r="I383" s="1247">
        <f>SUM(I384:I393)</f>
        <v>300000</v>
      </c>
      <c r="J383" s="1246">
        <f>SUM(J384:J393)</f>
        <v>0</v>
      </c>
      <c r="K383" s="1276"/>
      <c r="L383" s="1254"/>
      <c r="M383" s="1240"/>
      <c r="N383" s="1240"/>
      <c r="O383" s="1240"/>
      <c r="P383" s="1240"/>
      <c r="Q383" s="1240"/>
    </row>
    <row r="384" spans="1:17" s="1256" customFormat="1" ht="15" customHeight="1">
      <c r="A384" s="4692"/>
      <c r="B384" s="4693"/>
      <c r="C384" s="4705"/>
      <c r="D384" s="4705"/>
      <c r="E384" s="1249" t="s">
        <v>479</v>
      </c>
      <c r="F384" s="1244">
        <f t="shared" ref="F384:F393" si="14">SUM(G384:J384)</f>
        <v>157500</v>
      </c>
      <c r="G384" s="1244"/>
      <c r="H384" s="1244"/>
      <c r="I384" s="1244">
        <v>157500</v>
      </c>
      <c r="J384" s="1243"/>
      <c r="K384" s="1272"/>
      <c r="L384" s="1254"/>
      <c r="M384" s="1240"/>
      <c r="N384" s="1240"/>
      <c r="O384" s="1240"/>
      <c r="P384" s="1240"/>
      <c r="Q384" s="1240"/>
    </row>
    <row r="385" spans="1:17" s="1256" customFormat="1" ht="15" customHeight="1">
      <c r="A385" s="4692"/>
      <c r="B385" s="4693"/>
      <c r="C385" s="4705"/>
      <c r="D385" s="4705"/>
      <c r="E385" s="1249" t="s">
        <v>461</v>
      </c>
      <c r="F385" s="1244">
        <f t="shared" si="14"/>
        <v>52500</v>
      </c>
      <c r="G385" s="1244"/>
      <c r="H385" s="1244"/>
      <c r="I385" s="1244">
        <v>52500</v>
      </c>
      <c r="J385" s="1243"/>
      <c r="K385" s="1272"/>
      <c r="L385" s="1254"/>
      <c r="M385" s="1240"/>
      <c r="N385" s="1240"/>
      <c r="O385" s="1240"/>
      <c r="P385" s="1240"/>
      <c r="Q385" s="1240"/>
    </row>
    <row r="386" spans="1:17" s="1256" customFormat="1" ht="15" customHeight="1">
      <c r="A386" s="4692"/>
      <c r="B386" s="4693"/>
      <c r="C386" s="4705"/>
      <c r="D386" s="4705"/>
      <c r="E386" s="1249" t="s">
        <v>536</v>
      </c>
      <c r="F386" s="1244">
        <f t="shared" si="14"/>
        <v>26250</v>
      </c>
      <c r="G386" s="1244"/>
      <c r="H386" s="1244"/>
      <c r="I386" s="1244">
        <v>26250</v>
      </c>
      <c r="J386" s="1243"/>
      <c r="K386" s="1280"/>
      <c r="L386" s="1254"/>
      <c r="M386" s="1240"/>
      <c r="N386" s="1240"/>
      <c r="O386" s="1240"/>
      <c r="P386" s="1240"/>
      <c r="Q386" s="1240"/>
    </row>
    <row r="387" spans="1:17" s="1256" customFormat="1" ht="15" customHeight="1">
      <c r="A387" s="4692"/>
      <c r="B387" s="4693"/>
      <c r="C387" s="4705"/>
      <c r="D387" s="4705"/>
      <c r="E387" s="1249" t="s">
        <v>493</v>
      </c>
      <c r="F387" s="1244">
        <f t="shared" si="14"/>
        <v>8750</v>
      </c>
      <c r="G387" s="1244"/>
      <c r="H387" s="1244"/>
      <c r="I387" s="1244">
        <v>8750</v>
      </c>
      <c r="J387" s="1243"/>
      <c r="K387" s="1255"/>
      <c r="L387" s="1254"/>
      <c r="M387" s="1240"/>
      <c r="N387" s="1240"/>
      <c r="O387" s="1240"/>
      <c r="P387" s="1240"/>
      <c r="Q387" s="1240"/>
    </row>
    <row r="388" spans="1:17" s="1256" customFormat="1" ht="15" customHeight="1">
      <c r="A388" s="4692"/>
      <c r="B388" s="4693"/>
      <c r="C388" s="4705"/>
      <c r="D388" s="4705"/>
      <c r="E388" s="1249" t="s">
        <v>478</v>
      </c>
      <c r="F388" s="1244">
        <f t="shared" si="14"/>
        <v>33750</v>
      </c>
      <c r="G388" s="1244"/>
      <c r="H388" s="1244"/>
      <c r="I388" s="1244">
        <v>33750</v>
      </c>
      <c r="J388" s="1243"/>
      <c r="K388" s="1255"/>
      <c r="L388" s="1254"/>
      <c r="M388" s="1240"/>
      <c r="N388" s="1240"/>
      <c r="O388" s="1240"/>
      <c r="P388" s="1240"/>
      <c r="Q388" s="1240"/>
    </row>
    <row r="389" spans="1:17" s="1256" customFormat="1" ht="15" customHeight="1">
      <c r="A389" s="4692"/>
      <c r="B389" s="4693"/>
      <c r="C389" s="4705"/>
      <c r="D389" s="4705"/>
      <c r="E389" s="1249" t="s">
        <v>459</v>
      </c>
      <c r="F389" s="1244">
        <f t="shared" si="14"/>
        <v>11250</v>
      </c>
      <c r="G389" s="1244"/>
      <c r="H389" s="1244"/>
      <c r="I389" s="1244">
        <v>11250</v>
      </c>
      <c r="J389" s="1243"/>
      <c r="K389" s="1255"/>
      <c r="L389" s="1254"/>
      <c r="M389" s="1240"/>
      <c r="N389" s="1240"/>
      <c r="O389" s="1240"/>
      <c r="P389" s="1240"/>
      <c r="Q389" s="1240"/>
    </row>
    <row r="390" spans="1:17" s="1256" customFormat="1" ht="15" customHeight="1">
      <c r="A390" s="4692"/>
      <c r="B390" s="4693"/>
      <c r="C390" s="4705"/>
      <c r="D390" s="4705"/>
      <c r="E390" s="1249" t="s">
        <v>477</v>
      </c>
      <c r="F390" s="1244">
        <f t="shared" si="14"/>
        <v>6000</v>
      </c>
      <c r="G390" s="1244"/>
      <c r="H390" s="1244"/>
      <c r="I390" s="1244">
        <v>6000</v>
      </c>
      <c r="J390" s="1243"/>
      <c r="K390" s="1255"/>
      <c r="L390" s="1254"/>
      <c r="M390" s="1240"/>
      <c r="N390" s="1240"/>
      <c r="O390" s="1240"/>
      <c r="P390" s="1240"/>
      <c r="Q390" s="1240"/>
    </row>
    <row r="391" spans="1:17" s="1256" customFormat="1" ht="15" customHeight="1">
      <c r="A391" s="4692"/>
      <c r="B391" s="4693"/>
      <c r="C391" s="4705"/>
      <c r="D391" s="4705"/>
      <c r="E391" s="1249" t="s">
        <v>457</v>
      </c>
      <c r="F391" s="1244">
        <f t="shared" si="14"/>
        <v>2000</v>
      </c>
      <c r="G391" s="1244"/>
      <c r="H391" s="1244"/>
      <c r="I391" s="1244">
        <v>2000</v>
      </c>
      <c r="J391" s="1243"/>
      <c r="K391" s="1255"/>
      <c r="L391" s="1254"/>
      <c r="M391" s="1240"/>
      <c r="N391" s="1240"/>
      <c r="O391" s="1240"/>
      <c r="P391" s="1240"/>
      <c r="Q391" s="1240"/>
    </row>
    <row r="392" spans="1:17" s="1256" customFormat="1" ht="15" customHeight="1">
      <c r="A392" s="4692"/>
      <c r="B392" s="4693"/>
      <c r="C392" s="4705"/>
      <c r="D392" s="4705"/>
      <c r="E392" s="1249" t="s">
        <v>476</v>
      </c>
      <c r="F392" s="1244">
        <f t="shared" si="14"/>
        <v>1500</v>
      </c>
      <c r="G392" s="1244"/>
      <c r="H392" s="1244"/>
      <c r="I392" s="1244">
        <v>1500</v>
      </c>
      <c r="J392" s="1243"/>
      <c r="K392" s="1255"/>
      <c r="L392" s="1254"/>
      <c r="M392" s="1240"/>
      <c r="N392" s="1240"/>
      <c r="O392" s="1240"/>
      <c r="P392" s="1240"/>
      <c r="Q392" s="1240"/>
    </row>
    <row r="393" spans="1:17" s="1256" customFormat="1" ht="15" customHeight="1">
      <c r="A393" s="4692"/>
      <c r="B393" s="4693"/>
      <c r="C393" s="4705"/>
      <c r="D393" s="4705"/>
      <c r="E393" s="1249" t="s">
        <v>453</v>
      </c>
      <c r="F393" s="1244">
        <f t="shared" si="14"/>
        <v>500</v>
      </c>
      <c r="G393" s="1244"/>
      <c r="H393" s="1244"/>
      <c r="I393" s="1244">
        <v>500</v>
      </c>
      <c r="J393" s="1243"/>
      <c r="K393" s="1255"/>
      <c r="L393" s="1254"/>
      <c r="M393" s="1240"/>
      <c r="N393" s="1240"/>
      <c r="O393" s="1240"/>
      <c r="P393" s="1240"/>
      <c r="Q393" s="1240"/>
    </row>
    <row r="394" spans="1:17" s="1256" customFormat="1" ht="22.5">
      <c r="A394" s="4692"/>
      <c r="B394" s="4693"/>
      <c r="C394" s="4705"/>
      <c r="D394" s="4705"/>
      <c r="E394" s="1248" t="s">
        <v>427</v>
      </c>
      <c r="F394" s="1247">
        <f>SUM(F395:F411)</f>
        <v>100000</v>
      </c>
      <c r="G394" s="1247">
        <f>SUM(G395:G411)</f>
        <v>0</v>
      </c>
      <c r="H394" s="1247">
        <f>SUM(H395:H411)</f>
        <v>0</v>
      </c>
      <c r="I394" s="1247">
        <f>SUM(I395:I411)</f>
        <v>100000</v>
      </c>
      <c r="J394" s="1246">
        <f>SUM(J395:J411)</f>
        <v>0</v>
      </c>
      <c r="K394" s="1255"/>
      <c r="L394" s="1254"/>
      <c r="M394" s="1240"/>
      <c r="N394" s="1240"/>
      <c r="O394" s="1240"/>
      <c r="P394" s="1240"/>
      <c r="Q394" s="1240"/>
    </row>
    <row r="395" spans="1:17" s="1256" customFormat="1" ht="15" hidden="1" customHeight="1">
      <c r="A395" s="4692"/>
      <c r="B395" s="4693"/>
      <c r="C395" s="4705"/>
      <c r="D395" s="4705"/>
      <c r="E395" s="1249" t="s">
        <v>588</v>
      </c>
      <c r="F395" s="1244">
        <f t="shared" ref="F395:F411" si="15">SUM(G395:J395)</f>
        <v>0</v>
      </c>
      <c r="G395" s="1244"/>
      <c r="H395" s="1244"/>
      <c r="I395" s="1244"/>
      <c r="J395" s="1243"/>
      <c r="K395" s="1255"/>
      <c r="L395" s="1254"/>
      <c r="M395" s="1240"/>
      <c r="N395" s="1240"/>
      <c r="O395" s="1240"/>
      <c r="P395" s="1240"/>
      <c r="Q395" s="1240"/>
    </row>
    <row r="396" spans="1:17" s="1256" customFormat="1" ht="15" hidden="1" customHeight="1">
      <c r="A396" s="4692"/>
      <c r="B396" s="4693"/>
      <c r="C396" s="4705"/>
      <c r="D396" s="4705"/>
      <c r="E396" s="1249" t="s">
        <v>587</v>
      </c>
      <c r="F396" s="1244">
        <f t="shared" si="15"/>
        <v>0</v>
      </c>
      <c r="G396" s="1244"/>
      <c r="H396" s="1244"/>
      <c r="I396" s="1244"/>
      <c r="J396" s="1243"/>
      <c r="K396" s="1255"/>
      <c r="L396" s="1254"/>
      <c r="M396" s="1240"/>
      <c r="N396" s="1240"/>
      <c r="O396" s="1240"/>
      <c r="P396" s="1240"/>
      <c r="Q396" s="1240"/>
    </row>
    <row r="397" spans="1:17" s="1256" customFormat="1" ht="15" customHeight="1">
      <c r="A397" s="4692"/>
      <c r="B397" s="4693"/>
      <c r="C397" s="4705"/>
      <c r="D397" s="4705"/>
      <c r="E397" s="1249" t="s">
        <v>533</v>
      </c>
      <c r="F397" s="1244">
        <f t="shared" si="15"/>
        <v>54750</v>
      </c>
      <c r="G397" s="1244"/>
      <c r="H397" s="1244"/>
      <c r="I397" s="1244">
        <v>54750</v>
      </c>
      <c r="J397" s="1243"/>
      <c r="K397" s="1255"/>
      <c r="L397" s="1254"/>
      <c r="M397" s="1240"/>
      <c r="N397" s="1240"/>
      <c r="O397" s="1240"/>
      <c r="P397" s="1240"/>
      <c r="Q397" s="1240"/>
    </row>
    <row r="398" spans="1:17" s="1256" customFormat="1" ht="15" customHeight="1">
      <c r="A398" s="4692"/>
      <c r="B398" s="4693"/>
      <c r="C398" s="4705"/>
      <c r="D398" s="4705"/>
      <c r="E398" s="1249" t="s">
        <v>449</v>
      </c>
      <c r="F398" s="1244">
        <f t="shared" si="15"/>
        <v>18250</v>
      </c>
      <c r="G398" s="1244"/>
      <c r="H398" s="1244"/>
      <c r="I398" s="1244">
        <v>18250</v>
      </c>
      <c r="J398" s="1243"/>
      <c r="K398" s="1255"/>
      <c r="L398" s="1254"/>
      <c r="M398" s="1240"/>
      <c r="N398" s="1240"/>
      <c r="O398" s="1240"/>
      <c r="P398" s="1240"/>
      <c r="Q398" s="1240"/>
    </row>
    <row r="399" spans="1:17" s="1256" customFormat="1" ht="15" customHeight="1">
      <c r="A399" s="4692"/>
      <c r="B399" s="4693"/>
      <c r="C399" s="4705"/>
      <c r="D399" s="4705"/>
      <c r="E399" s="1249" t="s">
        <v>531</v>
      </c>
      <c r="F399" s="1244">
        <f t="shared" si="15"/>
        <v>2250</v>
      </c>
      <c r="G399" s="1244"/>
      <c r="H399" s="1244"/>
      <c r="I399" s="1244">
        <v>2250</v>
      </c>
      <c r="J399" s="1243"/>
      <c r="K399" s="1255"/>
      <c r="L399" s="1254"/>
      <c r="M399" s="1240"/>
      <c r="N399" s="1240"/>
      <c r="O399" s="1240"/>
      <c r="P399" s="1240"/>
      <c r="Q399" s="1240"/>
    </row>
    <row r="400" spans="1:17" s="1256" customFormat="1" ht="15" customHeight="1">
      <c r="A400" s="4692"/>
      <c r="B400" s="4693"/>
      <c r="C400" s="4705"/>
      <c r="D400" s="4705"/>
      <c r="E400" s="1249" t="s">
        <v>513</v>
      </c>
      <c r="F400" s="1244">
        <f t="shared" si="15"/>
        <v>750</v>
      </c>
      <c r="G400" s="1244"/>
      <c r="H400" s="1244"/>
      <c r="I400" s="1244">
        <v>750</v>
      </c>
      <c r="J400" s="1243"/>
      <c r="K400" s="1255"/>
      <c r="L400" s="1254"/>
      <c r="M400" s="1240"/>
      <c r="N400" s="1240"/>
      <c r="O400" s="1240"/>
      <c r="P400" s="1240"/>
      <c r="Q400" s="1240"/>
    </row>
    <row r="401" spans="1:17" s="1256" customFormat="1" ht="15" customHeight="1">
      <c r="A401" s="4692"/>
      <c r="B401" s="4693"/>
      <c r="C401" s="4705"/>
      <c r="D401" s="4705"/>
      <c r="E401" s="1249" t="s">
        <v>529</v>
      </c>
      <c r="F401" s="1244">
        <f t="shared" si="15"/>
        <v>13500</v>
      </c>
      <c r="G401" s="1244"/>
      <c r="H401" s="1244"/>
      <c r="I401" s="1244">
        <v>13500</v>
      </c>
      <c r="J401" s="1243"/>
      <c r="K401" s="1255"/>
      <c r="L401" s="1254"/>
      <c r="M401" s="1240"/>
      <c r="N401" s="1240"/>
      <c r="O401" s="1240"/>
      <c r="P401" s="1240"/>
      <c r="Q401" s="1240"/>
    </row>
    <row r="402" spans="1:17" s="1256" customFormat="1" ht="15" customHeight="1">
      <c r="A402" s="4692"/>
      <c r="B402" s="4693"/>
      <c r="C402" s="4705"/>
      <c r="D402" s="4705"/>
      <c r="E402" s="1249" t="s">
        <v>445</v>
      </c>
      <c r="F402" s="1244">
        <f t="shared" si="15"/>
        <v>4500</v>
      </c>
      <c r="G402" s="1244"/>
      <c r="H402" s="1244"/>
      <c r="I402" s="1244">
        <v>4500</v>
      </c>
      <c r="J402" s="1243"/>
      <c r="K402" s="1255"/>
      <c r="L402" s="1254"/>
      <c r="M402" s="1240"/>
      <c r="N402" s="1240"/>
      <c r="O402" s="1240"/>
      <c r="P402" s="1240"/>
      <c r="Q402" s="1240"/>
    </row>
    <row r="403" spans="1:17" s="1256" customFormat="1" ht="15" customHeight="1">
      <c r="A403" s="4692"/>
      <c r="B403" s="4693"/>
      <c r="C403" s="4705"/>
      <c r="D403" s="4705"/>
      <c r="E403" s="1249" t="s">
        <v>524</v>
      </c>
      <c r="F403" s="1244">
        <f t="shared" si="15"/>
        <v>1500</v>
      </c>
      <c r="G403" s="1244"/>
      <c r="H403" s="1244"/>
      <c r="I403" s="1244">
        <v>1500</v>
      </c>
      <c r="J403" s="1243"/>
      <c r="K403" s="1255"/>
      <c r="L403" s="1254"/>
      <c r="M403" s="1240"/>
      <c r="N403" s="1240"/>
      <c r="O403" s="1240"/>
      <c r="P403" s="1240"/>
      <c r="Q403" s="1240"/>
    </row>
    <row r="404" spans="1:17" s="1256" customFormat="1" ht="15" customHeight="1">
      <c r="A404" s="4692"/>
      <c r="B404" s="4693"/>
      <c r="C404" s="4705"/>
      <c r="D404" s="4705"/>
      <c r="E404" s="1249" t="s">
        <v>466</v>
      </c>
      <c r="F404" s="1244">
        <f t="shared" si="15"/>
        <v>500</v>
      </c>
      <c r="G404" s="1244"/>
      <c r="H404" s="1244"/>
      <c r="I404" s="1244">
        <v>500</v>
      </c>
      <c r="J404" s="1243"/>
      <c r="K404" s="1255"/>
      <c r="L404" s="1254"/>
      <c r="M404" s="1240"/>
      <c r="N404" s="1240"/>
      <c r="O404" s="1240"/>
      <c r="P404" s="1240"/>
      <c r="Q404" s="1240"/>
    </row>
    <row r="405" spans="1:17" s="1256" customFormat="1" ht="15" customHeight="1">
      <c r="A405" s="4692"/>
      <c r="B405" s="4693"/>
      <c r="C405" s="4705"/>
      <c r="D405" s="4705"/>
      <c r="E405" s="1249" t="s">
        <v>523</v>
      </c>
      <c r="F405" s="1244">
        <f t="shared" si="15"/>
        <v>750</v>
      </c>
      <c r="G405" s="1244"/>
      <c r="H405" s="1244"/>
      <c r="I405" s="1244">
        <v>750</v>
      </c>
      <c r="J405" s="1243"/>
      <c r="K405" s="1255"/>
      <c r="L405" s="1254"/>
      <c r="M405" s="1240"/>
      <c r="N405" s="1240"/>
      <c r="O405" s="1240"/>
      <c r="P405" s="1240"/>
      <c r="Q405" s="1240"/>
    </row>
    <row r="406" spans="1:17" s="1256" customFormat="1" ht="15" customHeight="1">
      <c r="A406" s="4692"/>
      <c r="B406" s="4693"/>
      <c r="C406" s="4705"/>
      <c r="D406" s="4705"/>
      <c r="E406" s="1249" t="s">
        <v>522</v>
      </c>
      <c r="F406" s="1244">
        <f t="shared" si="15"/>
        <v>250</v>
      </c>
      <c r="G406" s="1244"/>
      <c r="H406" s="1244"/>
      <c r="I406" s="1244">
        <v>250</v>
      </c>
      <c r="J406" s="1243"/>
      <c r="K406" s="1255"/>
      <c r="L406" s="1254"/>
      <c r="M406" s="1240"/>
      <c r="N406" s="1240"/>
      <c r="O406" s="1240"/>
      <c r="P406" s="1240"/>
      <c r="Q406" s="1240"/>
    </row>
    <row r="407" spans="1:17" s="1256" customFormat="1" ht="15" customHeight="1">
      <c r="A407" s="4692"/>
      <c r="B407" s="4693"/>
      <c r="C407" s="4705"/>
      <c r="D407" s="4705"/>
      <c r="E407" s="1249" t="s">
        <v>519</v>
      </c>
      <c r="F407" s="1244">
        <f t="shared" si="15"/>
        <v>2250</v>
      </c>
      <c r="G407" s="1244"/>
      <c r="H407" s="1244"/>
      <c r="I407" s="1244">
        <v>2250</v>
      </c>
      <c r="J407" s="1243"/>
      <c r="K407" s="1255"/>
      <c r="L407" s="1254"/>
      <c r="M407" s="1240"/>
      <c r="N407" s="1240"/>
      <c r="O407" s="1240"/>
      <c r="P407" s="1240"/>
      <c r="Q407" s="1240"/>
    </row>
    <row r="408" spans="1:17" s="1256" customFormat="1" ht="15" customHeight="1">
      <c r="A408" s="4692"/>
      <c r="B408" s="4693"/>
      <c r="C408" s="4705"/>
      <c r="D408" s="4705"/>
      <c r="E408" s="1249" t="s">
        <v>485</v>
      </c>
      <c r="F408" s="1244">
        <f t="shared" si="15"/>
        <v>750</v>
      </c>
      <c r="G408" s="1244"/>
      <c r="H408" s="1244"/>
      <c r="I408" s="1244">
        <v>750</v>
      </c>
      <c r="J408" s="1243"/>
      <c r="K408" s="1255"/>
      <c r="L408" s="1254"/>
      <c r="M408" s="1240"/>
      <c r="N408" s="1240"/>
      <c r="O408" s="1240"/>
      <c r="P408" s="1240"/>
      <c r="Q408" s="1240"/>
    </row>
    <row r="409" spans="1:17" s="1256" customFormat="1" ht="15" hidden="1" customHeight="1">
      <c r="A409" s="4692"/>
      <c r="B409" s="4693"/>
      <c r="C409" s="4705"/>
      <c r="D409" s="4705"/>
      <c r="E409" s="1249" t="s">
        <v>364</v>
      </c>
      <c r="F409" s="1244">
        <f t="shared" si="15"/>
        <v>0</v>
      </c>
      <c r="G409" s="1244"/>
      <c r="H409" s="1244"/>
      <c r="I409" s="1244"/>
      <c r="J409" s="1243"/>
      <c r="K409" s="1255"/>
      <c r="L409" s="1254"/>
      <c r="M409" s="1240"/>
      <c r="N409" s="1240"/>
      <c r="O409" s="1240"/>
      <c r="P409" s="1240"/>
      <c r="Q409" s="1240"/>
    </row>
    <row r="410" spans="1:17" s="1256" customFormat="1" ht="15" hidden="1" customHeight="1">
      <c r="A410" s="4692"/>
      <c r="B410" s="4693"/>
      <c r="C410" s="4705"/>
      <c r="D410" s="4705"/>
      <c r="E410" s="1249" t="s">
        <v>300</v>
      </c>
      <c r="F410" s="1244">
        <f t="shared" si="15"/>
        <v>0</v>
      </c>
      <c r="G410" s="1244"/>
      <c r="H410" s="1244"/>
      <c r="I410" s="1244"/>
      <c r="J410" s="1243"/>
      <c r="K410" s="1255"/>
      <c r="L410" s="1254"/>
      <c r="M410" s="1240"/>
      <c r="N410" s="1240"/>
      <c r="O410" s="1240"/>
      <c r="P410" s="1240"/>
      <c r="Q410" s="1240"/>
    </row>
    <row r="411" spans="1:17" s="1256" customFormat="1" ht="15" hidden="1" customHeight="1">
      <c r="A411" s="4692"/>
      <c r="B411" s="4693"/>
      <c r="C411" s="4705"/>
      <c r="D411" s="4705"/>
      <c r="E411" s="1249" t="s">
        <v>488</v>
      </c>
      <c r="F411" s="1244">
        <f t="shared" si="15"/>
        <v>0</v>
      </c>
      <c r="G411" s="1244"/>
      <c r="H411" s="1244"/>
      <c r="I411" s="1244"/>
      <c r="J411" s="1243"/>
      <c r="K411" s="1255"/>
      <c r="L411" s="1254"/>
      <c r="M411" s="1240"/>
      <c r="N411" s="1240"/>
      <c r="O411" s="1240"/>
      <c r="P411" s="1240"/>
      <c r="Q411" s="1240"/>
    </row>
    <row r="412" spans="1:17" s="1256" customFormat="1" ht="15" customHeight="1">
      <c r="A412" s="4692"/>
      <c r="B412" s="4693"/>
      <c r="C412" s="4705"/>
      <c r="D412" s="4705"/>
      <c r="E412" s="1239" t="s">
        <v>423</v>
      </c>
      <c r="F412" s="1238">
        <f>SUM(F413:F414)</f>
        <v>0</v>
      </c>
      <c r="G412" s="1238">
        <f>SUM(G413:G414)</f>
        <v>0</v>
      </c>
      <c r="H412" s="1238">
        <f>SUM(H413:H414)</f>
        <v>0</v>
      </c>
      <c r="I412" s="1238">
        <f>SUM(I413:I414)</f>
        <v>0</v>
      </c>
      <c r="J412" s="1237">
        <f>SUM(J413:J414)</f>
        <v>0</v>
      </c>
      <c r="K412" s="1255"/>
      <c r="L412" s="1254"/>
      <c r="M412" s="1240"/>
      <c r="N412" s="1240"/>
      <c r="O412" s="1240"/>
      <c r="P412" s="1240"/>
    </row>
    <row r="413" spans="1:17" s="1256" customFormat="1" ht="15" hidden="1" customHeight="1">
      <c r="A413" s="1235"/>
      <c r="B413" s="1234"/>
      <c r="C413" s="1232"/>
      <c r="D413" s="1232"/>
      <c r="E413" s="1236" t="s">
        <v>500</v>
      </c>
      <c r="F413" s="1230">
        <f>SUM(G413:J413)</f>
        <v>0</v>
      </c>
      <c r="G413" s="1230"/>
      <c r="H413" s="1230"/>
      <c r="I413" s="1230"/>
      <c r="J413" s="1229"/>
      <c r="K413" s="1255"/>
      <c r="L413" s="1254"/>
      <c r="M413" s="1240"/>
      <c r="N413" s="1240"/>
      <c r="O413" s="1240"/>
      <c r="P413" s="1240"/>
    </row>
    <row r="414" spans="1:17" s="1256" customFormat="1" ht="15" hidden="1" customHeight="1">
      <c r="A414" s="1235"/>
      <c r="B414" s="1234"/>
      <c r="C414" s="1232"/>
      <c r="D414" s="1232"/>
      <c r="E414" s="1231">
        <v>6069</v>
      </c>
      <c r="F414" s="1230">
        <f>SUM(G414:J414)</f>
        <v>0</v>
      </c>
      <c r="G414" s="1230"/>
      <c r="H414" s="1230"/>
      <c r="I414" s="1230"/>
      <c r="J414" s="1229"/>
      <c r="K414" s="1255"/>
      <c r="L414" s="1254"/>
      <c r="M414" s="1240"/>
      <c r="N414" s="1240"/>
      <c r="O414" s="1240"/>
      <c r="P414" s="1240"/>
    </row>
    <row r="415" spans="1:17" s="1240" customFormat="1" ht="22.5" customHeight="1">
      <c r="A415" s="4706" t="s">
        <v>586</v>
      </c>
      <c r="B415" s="4709" t="s">
        <v>585</v>
      </c>
      <c r="C415" s="4695">
        <v>600</v>
      </c>
      <c r="D415" s="4718" t="s">
        <v>583</v>
      </c>
      <c r="E415" s="1253" t="s">
        <v>435</v>
      </c>
      <c r="F415" s="1252">
        <f>SUM(F416,F425)</f>
        <v>100555545</v>
      </c>
      <c r="G415" s="1252">
        <f>SUM(G416,G425)</f>
        <v>76840524</v>
      </c>
      <c r="H415" s="1252">
        <f>SUM(H416,H425)</f>
        <v>22920771</v>
      </c>
      <c r="I415" s="1252">
        <f>SUM(I416,I425)</f>
        <v>0</v>
      </c>
      <c r="J415" s="1251">
        <f>SUM(J416,J425)</f>
        <v>794250</v>
      </c>
      <c r="K415" s="1255"/>
      <c r="L415" s="1254"/>
    </row>
    <row r="416" spans="1:17" s="1240" customFormat="1" ht="15" customHeight="1">
      <c r="A416" s="4707"/>
      <c r="B416" s="4710"/>
      <c r="C416" s="4722"/>
      <c r="D416" s="4720"/>
      <c r="E416" s="1250" t="s">
        <v>541</v>
      </c>
      <c r="F416" s="1238">
        <f>SUM(F417,F421)</f>
        <v>0</v>
      </c>
      <c r="G416" s="1238">
        <f>SUM(G417,G421)</f>
        <v>0</v>
      </c>
      <c r="H416" s="1238">
        <f>SUM(H417,H421)</f>
        <v>0</v>
      </c>
      <c r="I416" s="1238">
        <f>SUM(I417,I421)</f>
        <v>0</v>
      </c>
      <c r="J416" s="1237">
        <f>SUM(J417,J421)</f>
        <v>0</v>
      </c>
      <c r="K416" s="1255"/>
      <c r="L416" s="1254"/>
    </row>
    <row r="417" spans="1:12" s="1240" customFormat="1" ht="15" hidden="1" customHeight="1">
      <c r="A417" s="4707"/>
      <c r="B417" s="4710"/>
      <c r="C417" s="4722"/>
      <c r="D417" s="4720"/>
      <c r="E417" s="1248" t="s">
        <v>432</v>
      </c>
      <c r="F417" s="1247">
        <f>SUM(F418:F420)</f>
        <v>0</v>
      </c>
      <c r="G417" s="1247">
        <f>SUM(G418:G420)</f>
        <v>0</v>
      </c>
      <c r="H417" s="1247">
        <f>SUM(H418:H420)</f>
        <v>0</v>
      </c>
      <c r="I417" s="1247">
        <f>SUM(I418:I420)</f>
        <v>0</v>
      </c>
      <c r="J417" s="1246">
        <f>SUM(J418:J420)</f>
        <v>0</v>
      </c>
      <c r="K417" s="1255"/>
      <c r="L417" s="1254"/>
    </row>
    <row r="418" spans="1:12" s="1240" customFormat="1" ht="15" hidden="1" customHeight="1">
      <c r="A418" s="4707"/>
      <c r="B418" s="4710"/>
      <c r="C418" s="4722"/>
      <c r="D418" s="4720"/>
      <c r="E418" s="1249"/>
      <c r="F418" s="1244">
        <f>SUM(G418:J418)</f>
        <v>0</v>
      </c>
      <c r="G418" s="1244"/>
      <c r="H418" s="1244"/>
      <c r="I418" s="1244"/>
      <c r="J418" s="1243"/>
      <c r="K418" s="1255"/>
      <c r="L418" s="1254"/>
    </row>
    <row r="419" spans="1:12" s="1240" customFormat="1" ht="15" hidden="1" customHeight="1">
      <c r="A419" s="4707"/>
      <c r="B419" s="4710"/>
      <c r="C419" s="4722"/>
      <c r="D419" s="4720"/>
      <c r="E419" s="1249"/>
      <c r="F419" s="1244">
        <f>SUM(G419:J419)</f>
        <v>0</v>
      </c>
      <c r="G419" s="1244"/>
      <c r="H419" s="1244"/>
      <c r="I419" s="1244"/>
      <c r="J419" s="1243"/>
      <c r="K419" s="1255"/>
      <c r="L419" s="1254"/>
    </row>
    <row r="420" spans="1:12" s="1240" customFormat="1" ht="15" hidden="1" customHeight="1">
      <c r="A420" s="4707"/>
      <c r="B420" s="4710"/>
      <c r="C420" s="4722"/>
      <c r="D420" s="4720"/>
      <c r="E420" s="1249"/>
      <c r="F420" s="1244">
        <f>SUM(G420:J420)</f>
        <v>0</v>
      </c>
      <c r="G420" s="1244"/>
      <c r="H420" s="1244"/>
      <c r="I420" s="1244"/>
      <c r="J420" s="1243"/>
      <c r="K420" s="1255"/>
      <c r="L420" s="1254"/>
    </row>
    <row r="421" spans="1:12" s="1240" customFormat="1" ht="15" hidden="1" customHeight="1">
      <c r="A421" s="4707"/>
      <c r="B421" s="4710"/>
      <c r="C421" s="4722"/>
      <c r="D421" s="4720"/>
      <c r="E421" s="1248" t="s">
        <v>427</v>
      </c>
      <c r="F421" s="1247">
        <f>SUM(F422:F424)</f>
        <v>0</v>
      </c>
      <c r="G421" s="1247">
        <f>SUM(G422:G424)</f>
        <v>0</v>
      </c>
      <c r="H421" s="1247">
        <f>SUM(H422:H424)</f>
        <v>0</v>
      </c>
      <c r="I421" s="1247">
        <f>SUM(I422:I424)</f>
        <v>0</v>
      </c>
      <c r="J421" s="1246">
        <f>SUM(J422:J424)</f>
        <v>0</v>
      </c>
      <c r="K421" s="1255"/>
      <c r="L421" s="1254"/>
    </row>
    <row r="422" spans="1:12" s="1240" customFormat="1" ht="15" hidden="1" customHeight="1">
      <c r="A422" s="4707"/>
      <c r="B422" s="4710"/>
      <c r="C422" s="4722"/>
      <c r="D422" s="4720"/>
      <c r="E422" s="1249"/>
      <c r="F422" s="1244">
        <f>SUM(G422:J422)</f>
        <v>0</v>
      </c>
      <c r="G422" s="1244"/>
      <c r="H422" s="1244"/>
      <c r="I422" s="1244"/>
      <c r="J422" s="1243"/>
      <c r="K422" s="1255"/>
      <c r="L422" s="1254"/>
    </row>
    <row r="423" spans="1:12" s="1240" customFormat="1" ht="15" hidden="1" customHeight="1">
      <c r="A423" s="4707"/>
      <c r="B423" s="4710"/>
      <c r="C423" s="4722"/>
      <c r="D423" s="4720"/>
      <c r="E423" s="1249" t="s">
        <v>488</v>
      </c>
      <c r="F423" s="1244">
        <f>SUM(G423:J423)</f>
        <v>0</v>
      </c>
      <c r="G423" s="1244"/>
      <c r="H423" s="1244"/>
      <c r="I423" s="1244"/>
      <c r="J423" s="1243"/>
      <c r="K423" s="1255"/>
      <c r="L423" s="1254"/>
    </row>
    <row r="424" spans="1:12" s="1240" customFormat="1" ht="15" hidden="1" customHeight="1">
      <c r="A424" s="4707"/>
      <c r="B424" s="4710"/>
      <c r="C424" s="4722"/>
      <c r="D424" s="4720"/>
      <c r="E424" s="1249"/>
      <c r="F424" s="1244">
        <f>SUM(G424:J424)</f>
        <v>0</v>
      </c>
      <c r="G424" s="1244"/>
      <c r="H424" s="1244"/>
      <c r="I424" s="1244"/>
      <c r="J424" s="1243"/>
      <c r="K424" s="1255"/>
      <c r="L424" s="1254"/>
    </row>
    <row r="425" spans="1:12" s="1240" customFormat="1" ht="15" customHeight="1">
      <c r="A425" s="4707"/>
      <c r="B425" s="4710"/>
      <c r="C425" s="4722"/>
      <c r="D425" s="4720"/>
      <c r="E425" s="1239" t="s">
        <v>423</v>
      </c>
      <c r="F425" s="1238">
        <f>SUM(F426:F431)</f>
        <v>100555545</v>
      </c>
      <c r="G425" s="1238">
        <f>SUM(G426:G431)</f>
        <v>76840524</v>
      </c>
      <c r="H425" s="1238">
        <f>SUM(H426:H431)</f>
        <v>22920771</v>
      </c>
      <c r="I425" s="1238">
        <f>SUM(I426:I431)</f>
        <v>0</v>
      </c>
      <c r="J425" s="1237">
        <f>SUM(J426:J431)</f>
        <v>794250</v>
      </c>
      <c r="K425" s="1255"/>
      <c r="L425" s="1254"/>
    </row>
    <row r="426" spans="1:12" s="1240" customFormat="1" ht="15" customHeight="1">
      <c r="A426" s="4707"/>
      <c r="B426" s="4710"/>
      <c r="C426" s="4722"/>
      <c r="D426" s="4720"/>
      <c r="E426" s="1249" t="s">
        <v>546</v>
      </c>
      <c r="F426" s="1244">
        <f t="shared" ref="F426:F431" si="16">SUM(G426:J426)</f>
        <v>59741840</v>
      </c>
      <c r="G426" s="1244">
        <v>59741840</v>
      </c>
      <c r="H426" s="1244"/>
      <c r="I426" s="1244"/>
      <c r="J426" s="1243"/>
      <c r="K426" s="1255"/>
      <c r="L426" s="1254"/>
    </row>
    <row r="427" spans="1:12" s="1240" customFormat="1" ht="15" customHeight="1">
      <c r="A427" s="4707"/>
      <c r="B427" s="4710"/>
      <c r="C427" s="4722"/>
      <c r="D427" s="4720"/>
      <c r="E427" s="1249" t="s">
        <v>506</v>
      </c>
      <c r="F427" s="1244">
        <f t="shared" si="16"/>
        <v>22920771</v>
      </c>
      <c r="G427" s="1244"/>
      <c r="H427" s="1244">
        <v>22920771</v>
      </c>
      <c r="I427" s="1244"/>
      <c r="J427" s="1243"/>
      <c r="K427" s="1255"/>
      <c r="L427" s="1254"/>
    </row>
    <row r="428" spans="1:12" s="1240" customFormat="1" ht="15" customHeight="1">
      <c r="A428" s="4707"/>
      <c r="B428" s="4710"/>
      <c r="C428" s="4722"/>
      <c r="D428" s="4720"/>
      <c r="E428" s="1249" t="s">
        <v>505</v>
      </c>
      <c r="F428" s="1244">
        <f t="shared" si="16"/>
        <v>12892934</v>
      </c>
      <c r="G428" s="1244">
        <v>12098684</v>
      </c>
      <c r="H428" s="1244"/>
      <c r="I428" s="1244"/>
      <c r="J428" s="1243">
        <v>794250</v>
      </c>
      <c r="K428" s="1255"/>
      <c r="L428" s="1254"/>
    </row>
    <row r="429" spans="1:12" s="1240" customFormat="1" ht="15" customHeight="1">
      <c r="A429" s="4708"/>
      <c r="B429" s="4711"/>
      <c r="C429" s="4696"/>
      <c r="D429" s="4719"/>
      <c r="E429" s="1249" t="s">
        <v>553</v>
      </c>
      <c r="F429" s="1244">
        <f t="shared" si="16"/>
        <v>5000000</v>
      </c>
      <c r="G429" s="1244">
        <v>5000000</v>
      </c>
      <c r="H429" s="1244"/>
      <c r="I429" s="1244"/>
      <c r="J429" s="1243"/>
      <c r="K429" s="1255"/>
      <c r="L429" s="1254"/>
    </row>
    <row r="430" spans="1:12" s="1240" customFormat="1" ht="15" hidden="1" customHeight="1">
      <c r="A430" s="1289"/>
      <c r="B430" s="1288"/>
      <c r="C430" s="1287"/>
      <c r="D430" s="1286"/>
      <c r="E430" s="1292" t="s">
        <v>504</v>
      </c>
      <c r="F430" s="1291">
        <f t="shared" si="16"/>
        <v>0</v>
      </c>
      <c r="G430" s="1291"/>
      <c r="H430" s="1291"/>
      <c r="I430" s="1291"/>
      <c r="J430" s="1290"/>
      <c r="K430" s="1255"/>
      <c r="L430" s="1254"/>
    </row>
    <row r="431" spans="1:12" s="1240" customFormat="1" ht="15" hidden="1" customHeight="1">
      <c r="A431" s="1285"/>
      <c r="B431" s="1284"/>
      <c r="C431" s="1283"/>
      <c r="D431" s="1282"/>
      <c r="E431" s="1281">
        <v>6069</v>
      </c>
      <c r="F431" s="1244">
        <f t="shared" si="16"/>
        <v>0</v>
      </c>
      <c r="G431" s="1244"/>
      <c r="H431" s="1244"/>
      <c r="I431" s="1244"/>
      <c r="J431" s="1243"/>
      <c r="K431" s="1255"/>
      <c r="L431" s="1254"/>
    </row>
    <row r="432" spans="1:12" s="1240" customFormat="1" ht="22.5" hidden="1">
      <c r="A432" s="4726"/>
      <c r="B432" s="4727" t="s">
        <v>584</v>
      </c>
      <c r="C432" s="4728">
        <v>600</v>
      </c>
      <c r="D432" s="4729" t="s">
        <v>583</v>
      </c>
      <c r="E432" s="1269" t="s">
        <v>435</v>
      </c>
      <c r="F432" s="1268">
        <f>SUM(F433,F442)</f>
        <v>0</v>
      </c>
      <c r="G432" s="1268">
        <f>SUM(G433,G442)</f>
        <v>0</v>
      </c>
      <c r="H432" s="1268">
        <f>SUM(H433,H442)</f>
        <v>0</v>
      </c>
      <c r="I432" s="1268">
        <f>SUM(I433,I442)</f>
        <v>0</v>
      </c>
      <c r="J432" s="1267">
        <f>SUM(J433,J442)</f>
        <v>0</v>
      </c>
      <c r="K432" s="1255"/>
      <c r="L432" s="1254"/>
    </row>
    <row r="433" spans="1:12" s="1240" customFormat="1" ht="21" hidden="1">
      <c r="A433" s="4726"/>
      <c r="B433" s="4727"/>
      <c r="C433" s="4728"/>
      <c r="D433" s="4729"/>
      <c r="E433" s="1266" t="s">
        <v>434</v>
      </c>
      <c r="F433" s="1261">
        <f>SUM(F434,F438)</f>
        <v>0</v>
      </c>
      <c r="G433" s="1261">
        <f>SUM(G434,G438)</f>
        <v>0</v>
      </c>
      <c r="H433" s="1261">
        <f>SUM(H434,H438)</f>
        <v>0</v>
      </c>
      <c r="I433" s="1261">
        <f>SUM(I434,I438)</f>
        <v>0</v>
      </c>
      <c r="J433" s="1260">
        <f>SUM(J434,J438)</f>
        <v>0</v>
      </c>
      <c r="K433" s="1255"/>
      <c r="L433" s="1254"/>
    </row>
    <row r="434" spans="1:12" s="1240" customFormat="1" ht="15" hidden="1" customHeight="1">
      <c r="A434" s="4726"/>
      <c r="B434" s="4727"/>
      <c r="C434" s="4728"/>
      <c r="D434" s="4729"/>
      <c r="E434" s="1265" t="s">
        <v>432</v>
      </c>
      <c r="F434" s="1264">
        <f>SUM(F435:F437)</f>
        <v>0</v>
      </c>
      <c r="G434" s="1264">
        <f>SUM(G435:G437)</f>
        <v>0</v>
      </c>
      <c r="H434" s="1264">
        <f>SUM(H435:H437)</f>
        <v>0</v>
      </c>
      <c r="I434" s="1264">
        <f>SUM(I435:I437)</f>
        <v>0</v>
      </c>
      <c r="J434" s="1263">
        <f>SUM(J435:J437)</f>
        <v>0</v>
      </c>
      <c r="K434" s="1255"/>
      <c r="L434" s="1254"/>
    </row>
    <row r="435" spans="1:12" s="1240" customFormat="1" ht="15" hidden="1" customHeight="1">
      <c r="A435" s="4726"/>
      <c r="B435" s="4727"/>
      <c r="C435" s="4728"/>
      <c r="D435" s="4729"/>
      <c r="E435" s="1236"/>
      <c r="F435" s="1230">
        <f>SUM(G435:J435)</f>
        <v>0</v>
      </c>
      <c r="G435" s="1230"/>
      <c r="H435" s="1230"/>
      <c r="I435" s="1230"/>
      <c r="J435" s="1229"/>
      <c r="K435" s="1255"/>
      <c r="L435" s="1254"/>
    </row>
    <row r="436" spans="1:12" s="1240" customFormat="1" ht="15" hidden="1" customHeight="1">
      <c r="A436" s="4726"/>
      <c r="B436" s="4727"/>
      <c r="C436" s="4728"/>
      <c r="D436" s="4729"/>
      <c r="E436" s="1236"/>
      <c r="F436" s="1230">
        <f>SUM(G436:J436)</f>
        <v>0</v>
      </c>
      <c r="G436" s="1230"/>
      <c r="H436" s="1230"/>
      <c r="I436" s="1230"/>
      <c r="J436" s="1229"/>
      <c r="K436" s="1255"/>
      <c r="L436" s="1254"/>
    </row>
    <row r="437" spans="1:12" s="1240" customFormat="1" ht="15" hidden="1" customHeight="1">
      <c r="A437" s="4726"/>
      <c r="B437" s="4727"/>
      <c r="C437" s="4728"/>
      <c r="D437" s="4729"/>
      <c r="E437" s="1236"/>
      <c r="F437" s="1230">
        <f>SUM(G437:J437)</f>
        <v>0</v>
      </c>
      <c r="G437" s="1230"/>
      <c r="H437" s="1230"/>
      <c r="I437" s="1230"/>
      <c r="J437" s="1229"/>
      <c r="K437" s="1255"/>
      <c r="L437" s="1254"/>
    </row>
    <row r="438" spans="1:12" s="1240" customFormat="1" ht="15" hidden="1" customHeight="1">
      <c r="A438" s="4726"/>
      <c r="B438" s="4727"/>
      <c r="C438" s="4728"/>
      <c r="D438" s="4729"/>
      <c r="E438" s="1265" t="s">
        <v>427</v>
      </c>
      <c r="F438" s="1264">
        <f>SUM(F439:F441)</f>
        <v>0</v>
      </c>
      <c r="G438" s="1264">
        <f>SUM(G439:G441)</f>
        <v>0</v>
      </c>
      <c r="H438" s="1264">
        <f>SUM(H439:H441)</f>
        <v>0</v>
      </c>
      <c r="I438" s="1264">
        <f>SUM(I439:I441)</f>
        <v>0</v>
      </c>
      <c r="J438" s="1263">
        <f>SUM(J439:J441)</f>
        <v>0</v>
      </c>
      <c r="K438" s="1255"/>
      <c r="L438" s="1254"/>
    </row>
    <row r="439" spans="1:12" s="1240" customFormat="1" ht="15" hidden="1" customHeight="1">
      <c r="A439" s="4726"/>
      <c r="B439" s="4727"/>
      <c r="C439" s="4728"/>
      <c r="D439" s="4729"/>
      <c r="E439" s="1236"/>
      <c r="F439" s="1230">
        <f>SUM(G439:J439)</f>
        <v>0</v>
      </c>
      <c r="G439" s="1230"/>
      <c r="H439" s="1230"/>
      <c r="I439" s="1230"/>
      <c r="J439" s="1229"/>
      <c r="K439" s="1255"/>
      <c r="L439" s="1254"/>
    </row>
    <row r="440" spans="1:12" s="1240" customFormat="1" ht="15" hidden="1" customHeight="1">
      <c r="A440" s="4726"/>
      <c r="B440" s="4727"/>
      <c r="C440" s="4728"/>
      <c r="D440" s="4729"/>
      <c r="E440" s="1236"/>
      <c r="F440" s="1230">
        <f>SUM(G440:J440)</f>
        <v>0</v>
      </c>
      <c r="G440" s="1230"/>
      <c r="H440" s="1230"/>
      <c r="I440" s="1230"/>
      <c r="J440" s="1229"/>
      <c r="K440" s="1255"/>
      <c r="L440" s="1254"/>
    </row>
    <row r="441" spans="1:12" s="1240" customFormat="1" ht="15" hidden="1" customHeight="1">
      <c r="A441" s="4726"/>
      <c r="B441" s="4727"/>
      <c r="C441" s="4728"/>
      <c r="D441" s="4729"/>
      <c r="E441" s="1236"/>
      <c r="F441" s="1230">
        <f>SUM(G441:J441)</f>
        <v>0</v>
      </c>
      <c r="G441" s="1230"/>
      <c r="H441" s="1230"/>
      <c r="I441" s="1230"/>
      <c r="J441" s="1229"/>
      <c r="K441" s="1255"/>
      <c r="L441" s="1254"/>
    </row>
    <row r="442" spans="1:12" s="1240" customFormat="1" ht="15" hidden="1" customHeight="1">
      <c r="A442" s="4726"/>
      <c r="B442" s="4727"/>
      <c r="C442" s="4728"/>
      <c r="D442" s="4729"/>
      <c r="E442" s="1262" t="s">
        <v>423</v>
      </c>
      <c r="F442" s="1261">
        <f>SUM(F443:F445)</f>
        <v>0</v>
      </c>
      <c r="G442" s="1261">
        <f>SUM(G443:G445)</f>
        <v>0</v>
      </c>
      <c r="H442" s="1261">
        <f>SUM(H443:H445)</f>
        <v>0</v>
      </c>
      <c r="I442" s="1261">
        <f>SUM(I443:I445)</f>
        <v>0</v>
      </c>
      <c r="J442" s="1260">
        <f>SUM(J443:J445)</f>
        <v>0</v>
      </c>
      <c r="K442" s="1255"/>
      <c r="L442" s="1254"/>
    </row>
    <row r="443" spans="1:12" s="1240" customFormat="1" ht="15" hidden="1" customHeight="1">
      <c r="A443" s="4726"/>
      <c r="B443" s="4727"/>
      <c r="C443" s="4728"/>
      <c r="D443" s="4729"/>
      <c r="E443" s="1236" t="s">
        <v>546</v>
      </c>
      <c r="F443" s="1230">
        <f>SUM(G443:J443)</f>
        <v>0</v>
      </c>
      <c r="G443" s="1230"/>
      <c r="H443" s="1230"/>
      <c r="I443" s="1230"/>
      <c r="J443" s="1229"/>
      <c r="K443" s="1255"/>
      <c r="L443" s="1254"/>
    </row>
    <row r="444" spans="1:12" s="1240" customFormat="1" ht="15" hidden="1" customHeight="1">
      <c r="A444" s="4726"/>
      <c r="B444" s="4727"/>
      <c r="C444" s="4728"/>
      <c r="D444" s="4729"/>
      <c r="E444" s="1236" t="s">
        <v>566</v>
      </c>
      <c r="F444" s="1230">
        <f>SUM(G444:J444)</f>
        <v>0</v>
      </c>
      <c r="G444" s="1230"/>
      <c r="H444" s="1230"/>
      <c r="I444" s="1230"/>
      <c r="J444" s="1229"/>
      <c r="K444" s="1255"/>
      <c r="L444" s="1254"/>
    </row>
    <row r="445" spans="1:12" s="1240" customFormat="1" ht="15" hidden="1" customHeight="1">
      <c r="A445" s="4726"/>
      <c r="B445" s="4727"/>
      <c r="C445" s="4728"/>
      <c r="D445" s="4729"/>
      <c r="E445" s="1236" t="s">
        <v>123</v>
      </c>
      <c r="F445" s="1230">
        <f>SUM(G445:J445)</f>
        <v>0</v>
      </c>
      <c r="G445" s="1230"/>
      <c r="H445" s="1230"/>
      <c r="I445" s="1230"/>
      <c r="J445" s="1229"/>
      <c r="K445" s="1255"/>
      <c r="L445" s="1254"/>
    </row>
    <row r="446" spans="1:12" s="1240" customFormat="1" ht="22.5">
      <c r="A446" s="4706" t="s">
        <v>582</v>
      </c>
      <c r="B446" s="4709" t="s">
        <v>581</v>
      </c>
      <c r="C446" s="4718" t="s">
        <v>483</v>
      </c>
      <c r="D446" s="4718" t="s">
        <v>482</v>
      </c>
      <c r="E446" s="1253" t="s">
        <v>435</v>
      </c>
      <c r="F446" s="1252">
        <f>SUM(F447,F469)</f>
        <v>166935</v>
      </c>
      <c r="G446" s="1252">
        <f>SUM(G447,G469)</f>
        <v>166935</v>
      </c>
      <c r="H446" s="1252">
        <f>SUM(H447,H469)</f>
        <v>0</v>
      </c>
      <c r="I446" s="1252">
        <f>SUM(I447,I469)</f>
        <v>0</v>
      </c>
      <c r="J446" s="1251">
        <f>SUM(J447,J469)</f>
        <v>0</v>
      </c>
      <c r="K446" s="1306"/>
      <c r="L446" s="1254"/>
    </row>
    <row r="447" spans="1:12" s="1240" customFormat="1" ht="21">
      <c r="A447" s="4707"/>
      <c r="B447" s="4710"/>
      <c r="C447" s="4720"/>
      <c r="D447" s="4720"/>
      <c r="E447" s="1250" t="s">
        <v>434</v>
      </c>
      <c r="F447" s="1238">
        <f>SUM(F448,F457)</f>
        <v>166935</v>
      </c>
      <c r="G447" s="1238">
        <f>SUM(G448,G457)</f>
        <v>166935</v>
      </c>
      <c r="H447" s="1238">
        <f>SUM(H448,H457)</f>
        <v>0</v>
      </c>
      <c r="I447" s="1238">
        <f>SUM(I448,I457)</f>
        <v>0</v>
      </c>
      <c r="J447" s="1237">
        <f>SUM(J448,J457)</f>
        <v>0</v>
      </c>
      <c r="K447" s="1276"/>
      <c r="L447" s="1254"/>
    </row>
    <row r="448" spans="1:12" s="1240" customFormat="1" ht="22.5">
      <c r="A448" s="4707"/>
      <c r="B448" s="4710"/>
      <c r="C448" s="4720"/>
      <c r="D448" s="4720"/>
      <c r="E448" s="1248" t="s">
        <v>432</v>
      </c>
      <c r="F448" s="1247">
        <f>SUM(F449:F456)</f>
        <v>110779</v>
      </c>
      <c r="G448" s="1247">
        <f>SUM(G449:G456)</f>
        <v>110779</v>
      </c>
      <c r="H448" s="1247">
        <f>SUM(H449:H456)</f>
        <v>0</v>
      </c>
      <c r="I448" s="1247">
        <f>SUM(I449:I456)</f>
        <v>0</v>
      </c>
      <c r="J448" s="1246">
        <f>SUM(J449:J456)</f>
        <v>0</v>
      </c>
      <c r="K448" s="1276"/>
      <c r="L448" s="1254"/>
    </row>
    <row r="449" spans="1:12" s="1240" customFormat="1" ht="15" customHeight="1">
      <c r="A449" s="4707"/>
      <c r="B449" s="4710"/>
      <c r="C449" s="4720"/>
      <c r="D449" s="4720"/>
      <c r="E449" s="1249" t="s">
        <v>479</v>
      </c>
      <c r="F449" s="1244">
        <f t="shared" ref="F449:F456" si="17">SUM(G449:J449)</f>
        <v>73732</v>
      </c>
      <c r="G449" s="1244">
        <v>73732</v>
      </c>
      <c r="H449" s="1244"/>
      <c r="I449" s="1244"/>
      <c r="J449" s="1243"/>
      <c r="K449" s="1272"/>
      <c r="L449" s="1254"/>
    </row>
    <row r="450" spans="1:12" s="1240" customFormat="1" ht="15" customHeight="1">
      <c r="A450" s="4707"/>
      <c r="B450" s="4710"/>
      <c r="C450" s="4720"/>
      <c r="D450" s="4720"/>
      <c r="E450" s="1249" t="s">
        <v>461</v>
      </c>
      <c r="F450" s="1244">
        <f t="shared" si="17"/>
        <v>13011</v>
      </c>
      <c r="G450" s="1244">
        <v>13011</v>
      </c>
      <c r="H450" s="1244"/>
      <c r="I450" s="1244"/>
      <c r="J450" s="1243"/>
      <c r="K450" s="1272"/>
      <c r="L450" s="1254"/>
    </row>
    <row r="451" spans="1:12" s="1240" customFormat="1" ht="15" customHeight="1">
      <c r="A451" s="4707"/>
      <c r="B451" s="4710"/>
      <c r="C451" s="4720"/>
      <c r="D451" s="4720"/>
      <c r="E451" s="1249" t="s">
        <v>536</v>
      </c>
      <c r="F451" s="1244">
        <f t="shared" si="17"/>
        <v>5950</v>
      </c>
      <c r="G451" s="1244">
        <v>5950</v>
      </c>
      <c r="H451" s="1244"/>
      <c r="I451" s="1244"/>
      <c r="J451" s="1243"/>
      <c r="K451" s="1272"/>
      <c r="L451" s="1254"/>
    </row>
    <row r="452" spans="1:12" s="1240" customFormat="1" ht="15" customHeight="1">
      <c r="A452" s="4707"/>
      <c r="B452" s="4710"/>
      <c r="C452" s="4720"/>
      <c r="D452" s="4720"/>
      <c r="E452" s="1249" t="s">
        <v>493</v>
      </c>
      <c r="F452" s="1244">
        <f t="shared" si="17"/>
        <v>1050</v>
      </c>
      <c r="G452" s="1244">
        <v>1050</v>
      </c>
      <c r="H452" s="1244"/>
      <c r="I452" s="1244"/>
      <c r="J452" s="1243"/>
      <c r="K452" s="1272"/>
      <c r="L452" s="1254"/>
    </row>
    <row r="453" spans="1:12" s="1240" customFormat="1" ht="15" customHeight="1">
      <c r="A453" s="4707"/>
      <c r="B453" s="4710"/>
      <c r="C453" s="4720"/>
      <c r="D453" s="4720"/>
      <c r="E453" s="1249" t="s">
        <v>478</v>
      </c>
      <c r="F453" s="1244">
        <f t="shared" si="17"/>
        <v>12674</v>
      </c>
      <c r="G453" s="1244">
        <v>12674</v>
      </c>
      <c r="H453" s="1244"/>
      <c r="I453" s="1244"/>
      <c r="J453" s="1243"/>
      <c r="K453" s="1280"/>
      <c r="L453" s="1254"/>
    </row>
    <row r="454" spans="1:12" s="1240" customFormat="1" ht="15" customHeight="1">
      <c r="A454" s="4707"/>
      <c r="B454" s="4710"/>
      <c r="C454" s="4720"/>
      <c r="D454" s="4720"/>
      <c r="E454" s="1249" t="s">
        <v>459</v>
      </c>
      <c r="F454" s="1244">
        <f t="shared" si="17"/>
        <v>2237</v>
      </c>
      <c r="G454" s="1244">
        <v>2237</v>
      </c>
      <c r="H454" s="1244"/>
      <c r="I454" s="1244"/>
      <c r="J454" s="1243"/>
      <c r="K454" s="1255"/>
      <c r="L454" s="1254"/>
    </row>
    <row r="455" spans="1:12" s="1240" customFormat="1" ht="15" customHeight="1">
      <c r="A455" s="4707"/>
      <c r="B455" s="4710"/>
      <c r="C455" s="4720"/>
      <c r="D455" s="4720"/>
      <c r="E455" s="1249" t="s">
        <v>477</v>
      </c>
      <c r="F455" s="1244">
        <f t="shared" si="17"/>
        <v>1806</v>
      </c>
      <c r="G455" s="1244">
        <v>1806</v>
      </c>
      <c r="H455" s="1244"/>
      <c r="I455" s="1244"/>
      <c r="J455" s="1243"/>
      <c r="K455" s="1255"/>
      <c r="L455" s="1254"/>
    </row>
    <row r="456" spans="1:12" s="1240" customFormat="1" ht="15" customHeight="1">
      <c r="A456" s="4707"/>
      <c r="B456" s="4710"/>
      <c r="C456" s="4720"/>
      <c r="D456" s="4720"/>
      <c r="E456" s="1249" t="s">
        <v>457</v>
      </c>
      <c r="F456" s="1244">
        <f t="shared" si="17"/>
        <v>319</v>
      </c>
      <c r="G456" s="1244">
        <v>319</v>
      </c>
      <c r="H456" s="1244"/>
      <c r="I456" s="1244"/>
      <c r="J456" s="1243"/>
      <c r="K456" s="1255"/>
      <c r="L456" s="1254"/>
    </row>
    <row r="457" spans="1:12" s="1240" customFormat="1" ht="22.5">
      <c r="A457" s="4707"/>
      <c r="B457" s="4710"/>
      <c r="C457" s="4720"/>
      <c r="D457" s="4720"/>
      <c r="E457" s="1248" t="s">
        <v>427</v>
      </c>
      <c r="F457" s="1247">
        <f>SUM(F458:F468)</f>
        <v>56156</v>
      </c>
      <c r="G457" s="1247">
        <f>SUM(G458:G468)</f>
        <v>56156</v>
      </c>
      <c r="H457" s="1247">
        <f>SUM(H458:H468)</f>
        <v>0</v>
      </c>
      <c r="I457" s="1247">
        <f>SUM(I458:I468)</f>
        <v>0</v>
      </c>
      <c r="J457" s="1246">
        <f>SUM(J458:J468)</f>
        <v>0</v>
      </c>
      <c r="K457" s="1255"/>
      <c r="L457" s="1254"/>
    </row>
    <row r="458" spans="1:12" s="1240" customFormat="1" ht="15" customHeight="1">
      <c r="A458" s="4707"/>
      <c r="B458" s="4710"/>
      <c r="C458" s="4720"/>
      <c r="D458" s="4720"/>
      <c r="E458" s="1249" t="s">
        <v>533</v>
      </c>
      <c r="F458" s="1244">
        <f t="shared" ref="F458:F468" si="18">SUM(G458:J458)</f>
        <v>7207</v>
      </c>
      <c r="G458" s="1244">
        <v>7207</v>
      </c>
      <c r="H458" s="1244"/>
      <c r="I458" s="1244"/>
      <c r="J458" s="1243"/>
      <c r="K458" s="1255"/>
      <c r="L458" s="1254"/>
    </row>
    <row r="459" spans="1:12" s="1240" customFormat="1" ht="15" customHeight="1">
      <c r="A459" s="4707"/>
      <c r="B459" s="4710"/>
      <c r="C459" s="4720"/>
      <c r="D459" s="4720"/>
      <c r="E459" s="1249" t="s">
        <v>449</v>
      </c>
      <c r="F459" s="1244">
        <f t="shared" si="18"/>
        <v>1271</v>
      </c>
      <c r="G459" s="1244">
        <v>1271</v>
      </c>
      <c r="H459" s="1244"/>
      <c r="I459" s="1244"/>
      <c r="J459" s="1243"/>
      <c r="K459" s="1255"/>
      <c r="L459" s="1254"/>
    </row>
    <row r="460" spans="1:12" s="1240" customFormat="1" ht="15" customHeight="1">
      <c r="A460" s="4707"/>
      <c r="B460" s="4710"/>
      <c r="C460" s="4720"/>
      <c r="D460" s="4720"/>
      <c r="E460" s="1249" t="s">
        <v>529</v>
      </c>
      <c r="F460" s="1244">
        <f t="shared" si="18"/>
        <v>34680</v>
      </c>
      <c r="G460" s="1244">
        <v>34680</v>
      </c>
      <c r="H460" s="1244"/>
      <c r="I460" s="1244"/>
      <c r="J460" s="1243"/>
      <c r="K460" s="1255"/>
      <c r="L460" s="1254"/>
    </row>
    <row r="461" spans="1:12" s="1240" customFormat="1" ht="15" customHeight="1">
      <c r="A461" s="4707"/>
      <c r="B461" s="4710"/>
      <c r="C461" s="4720"/>
      <c r="D461" s="4720"/>
      <c r="E461" s="1249" t="s">
        <v>445</v>
      </c>
      <c r="F461" s="1244">
        <f t="shared" si="18"/>
        <v>6120</v>
      </c>
      <c r="G461" s="1244">
        <v>6120</v>
      </c>
      <c r="H461" s="1244"/>
      <c r="I461" s="1244"/>
      <c r="J461" s="1243"/>
      <c r="K461" s="1255"/>
      <c r="L461" s="1254"/>
    </row>
    <row r="462" spans="1:12" s="1240" customFormat="1" ht="15" customHeight="1">
      <c r="A462" s="4707"/>
      <c r="B462" s="4710"/>
      <c r="C462" s="4720"/>
      <c r="D462" s="4720"/>
      <c r="E462" s="1249" t="s">
        <v>524</v>
      </c>
      <c r="F462" s="1244">
        <f t="shared" si="18"/>
        <v>2718</v>
      </c>
      <c r="G462" s="1244">
        <v>2718</v>
      </c>
      <c r="H462" s="1244"/>
      <c r="I462" s="1244"/>
      <c r="J462" s="1243"/>
      <c r="K462" s="1255"/>
      <c r="L462" s="1254"/>
    </row>
    <row r="463" spans="1:12" s="1240" customFormat="1" ht="15" customHeight="1">
      <c r="A463" s="4707"/>
      <c r="B463" s="4710"/>
      <c r="C463" s="4720"/>
      <c r="D463" s="4720"/>
      <c r="E463" s="1249" t="s">
        <v>466</v>
      </c>
      <c r="F463" s="1244">
        <f t="shared" si="18"/>
        <v>480</v>
      </c>
      <c r="G463" s="1244">
        <v>480</v>
      </c>
      <c r="H463" s="1244"/>
      <c r="I463" s="1244"/>
      <c r="J463" s="1243"/>
      <c r="K463" s="1255"/>
      <c r="L463" s="1254"/>
    </row>
    <row r="464" spans="1:12" s="1240" customFormat="1" ht="15" customHeight="1">
      <c r="A464" s="4707"/>
      <c r="B464" s="4710"/>
      <c r="C464" s="4720"/>
      <c r="D464" s="4720"/>
      <c r="E464" s="1249" t="s">
        <v>575</v>
      </c>
      <c r="F464" s="1244">
        <f t="shared" si="18"/>
        <v>1275</v>
      </c>
      <c r="G464" s="1244">
        <v>1275</v>
      </c>
      <c r="H464" s="1244"/>
      <c r="I464" s="1244"/>
      <c r="J464" s="1243"/>
      <c r="K464" s="1255"/>
      <c r="L464" s="1254"/>
    </row>
    <row r="465" spans="1:12" s="1240" customFormat="1" ht="15" customHeight="1">
      <c r="A465" s="4707"/>
      <c r="B465" s="4710"/>
      <c r="C465" s="4720"/>
      <c r="D465" s="4720"/>
      <c r="E465" s="1249" t="s">
        <v>574</v>
      </c>
      <c r="F465" s="1244">
        <f t="shared" si="18"/>
        <v>225</v>
      </c>
      <c r="G465" s="1244">
        <v>225</v>
      </c>
      <c r="H465" s="1244"/>
      <c r="I465" s="1244"/>
      <c r="J465" s="1243"/>
      <c r="K465" s="1255"/>
      <c r="L465" s="1254"/>
    </row>
    <row r="466" spans="1:12" s="1240" customFormat="1" ht="15" customHeight="1">
      <c r="A466" s="4707"/>
      <c r="B466" s="4710"/>
      <c r="C466" s="4720"/>
      <c r="D466" s="4720"/>
      <c r="E466" s="1249" t="s">
        <v>519</v>
      </c>
      <c r="F466" s="1244">
        <f t="shared" si="18"/>
        <v>1853</v>
      </c>
      <c r="G466" s="1244">
        <v>1853</v>
      </c>
      <c r="H466" s="1244"/>
      <c r="I466" s="1244"/>
      <c r="J466" s="1243"/>
      <c r="K466" s="1255"/>
      <c r="L466" s="1254"/>
    </row>
    <row r="467" spans="1:12" s="1240" customFormat="1" ht="15" customHeight="1">
      <c r="A467" s="4707"/>
      <c r="B467" s="4710"/>
      <c r="C467" s="4720"/>
      <c r="D467" s="4720"/>
      <c r="E467" s="1249" t="s">
        <v>485</v>
      </c>
      <c r="F467" s="1244">
        <f t="shared" si="18"/>
        <v>327</v>
      </c>
      <c r="G467" s="1244">
        <v>327</v>
      </c>
      <c r="H467" s="1244"/>
      <c r="I467" s="1244"/>
      <c r="J467" s="1243"/>
      <c r="K467" s="1255"/>
      <c r="L467" s="1254"/>
    </row>
    <row r="468" spans="1:12" s="1240" customFormat="1" ht="15" hidden="1" customHeight="1">
      <c r="A468" s="4707"/>
      <c r="B468" s="4710"/>
      <c r="C468" s="4720"/>
      <c r="D468" s="4720"/>
      <c r="E468" s="1249" t="s">
        <v>488</v>
      </c>
      <c r="F468" s="1244">
        <f t="shared" si="18"/>
        <v>0</v>
      </c>
      <c r="G468" s="1244"/>
      <c r="H468" s="1244"/>
      <c r="I468" s="1244"/>
      <c r="J468" s="1243"/>
      <c r="K468" s="1255"/>
      <c r="L468" s="1254"/>
    </row>
    <row r="469" spans="1:12" s="1240" customFormat="1" ht="15" customHeight="1">
      <c r="A469" s="4708"/>
      <c r="B469" s="4711"/>
      <c r="C469" s="4719"/>
      <c r="D469" s="4719"/>
      <c r="E469" s="1239" t="s">
        <v>423</v>
      </c>
      <c r="F469" s="1238">
        <f>SUM(F470:F470)</f>
        <v>0</v>
      </c>
      <c r="G469" s="1238">
        <f>SUM(G470:G470)</f>
        <v>0</v>
      </c>
      <c r="H469" s="1238">
        <f>SUM(H470:H470)</f>
        <v>0</v>
      </c>
      <c r="I469" s="1238">
        <f>SUM(I470:I470)</f>
        <v>0</v>
      </c>
      <c r="J469" s="1237">
        <f>SUM(J470:J470)</f>
        <v>0</v>
      </c>
      <c r="K469" s="1255"/>
      <c r="L469" s="1254"/>
    </row>
    <row r="470" spans="1:12" s="1240" customFormat="1" ht="15" hidden="1" customHeight="1">
      <c r="A470" s="1235"/>
      <c r="B470" s="1234"/>
      <c r="C470" s="1232"/>
      <c r="D470" s="1232"/>
      <c r="E470" s="1231"/>
      <c r="F470" s="1230">
        <f>SUM(G470:J470)</f>
        <v>0</v>
      </c>
      <c r="G470" s="1230"/>
      <c r="H470" s="1230"/>
      <c r="I470" s="1230"/>
      <c r="J470" s="1229"/>
      <c r="K470" s="1255"/>
      <c r="L470" s="1254"/>
    </row>
    <row r="471" spans="1:12" s="1240" customFormat="1" ht="22.5" customHeight="1">
      <c r="A471" s="4706" t="s">
        <v>580</v>
      </c>
      <c r="B471" s="4709" t="s">
        <v>579</v>
      </c>
      <c r="C471" s="4718" t="s">
        <v>483</v>
      </c>
      <c r="D471" s="4718" t="s">
        <v>482</v>
      </c>
      <c r="E471" s="1253" t="s">
        <v>435</v>
      </c>
      <c r="F471" s="1252">
        <f>SUM(F472,F490)</f>
        <v>1403929</v>
      </c>
      <c r="G471" s="1252">
        <f>SUM(G472,G490)</f>
        <v>0</v>
      </c>
      <c r="H471" s="1252">
        <f>SUM(H472,H490)</f>
        <v>1403929</v>
      </c>
      <c r="I471" s="1252">
        <f>SUM(I472,I490)</f>
        <v>0</v>
      </c>
      <c r="J471" s="1251">
        <f>SUM(J472,J490)</f>
        <v>0</v>
      </c>
      <c r="K471" s="1242"/>
      <c r="L471" s="1241"/>
    </row>
    <row r="472" spans="1:12" s="1240" customFormat="1" ht="21">
      <c r="A472" s="4707"/>
      <c r="B472" s="4710"/>
      <c r="C472" s="4720"/>
      <c r="D472" s="4720"/>
      <c r="E472" s="1250" t="s">
        <v>434</v>
      </c>
      <c r="F472" s="1238">
        <f>SUM(F473,F479)</f>
        <v>1400928</v>
      </c>
      <c r="G472" s="1238">
        <f>SUM(G473,G479)</f>
        <v>0</v>
      </c>
      <c r="H472" s="1238">
        <f>SUM(H473,H479)</f>
        <v>1400928</v>
      </c>
      <c r="I472" s="1238">
        <f>SUM(I473,I479)</f>
        <v>0</v>
      </c>
      <c r="J472" s="1237">
        <f>SUM(J473,J479)</f>
        <v>0</v>
      </c>
      <c r="K472" s="1242"/>
      <c r="L472" s="1241"/>
    </row>
    <row r="473" spans="1:12" s="1240" customFormat="1" ht="22.5">
      <c r="A473" s="4707"/>
      <c r="B473" s="4710"/>
      <c r="C473" s="4720"/>
      <c r="D473" s="4720"/>
      <c r="E473" s="1248" t="s">
        <v>432</v>
      </c>
      <c r="F473" s="1247">
        <f>SUM(F474:F478)</f>
        <v>514000</v>
      </c>
      <c r="G473" s="1247">
        <f>SUM(G474:G478)</f>
        <v>0</v>
      </c>
      <c r="H473" s="1247">
        <f>SUM(H474:H478)</f>
        <v>514000</v>
      </c>
      <c r="I473" s="1247">
        <f>SUM(I474:I478)</f>
        <v>0</v>
      </c>
      <c r="J473" s="1246">
        <f>SUM(J474:J478)</f>
        <v>0</v>
      </c>
      <c r="K473" s="1242"/>
      <c r="L473" s="1241"/>
    </row>
    <row r="474" spans="1:12" s="1240" customFormat="1" ht="15" customHeight="1">
      <c r="A474" s="4707"/>
      <c r="B474" s="4710"/>
      <c r="C474" s="4720"/>
      <c r="D474" s="4720"/>
      <c r="E474" s="1249" t="s">
        <v>479</v>
      </c>
      <c r="F474" s="1244">
        <f>SUM(G474:J474)</f>
        <v>400000</v>
      </c>
      <c r="G474" s="1244"/>
      <c r="H474" s="1244">
        <v>400000</v>
      </c>
      <c r="I474" s="1244"/>
      <c r="J474" s="1243"/>
      <c r="K474" s="1276"/>
      <c r="L474" s="1241"/>
    </row>
    <row r="475" spans="1:12" s="1240" customFormat="1" ht="15" customHeight="1">
      <c r="A475" s="4707"/>
      <c r="B475" s="4710"/>
      <c r="C475" s="4720"/>
      <c r="D475" s="4720"/>
      <c r="E475" s="1249" t="s">
        <v>536</v>
      </c>
      <c r="F475" s="1244">
        <f>SUM(G475:J475)</f>
        <v>30000</v>
      </c>
      <c r="G475" s="1244"/>
      <c r="H475" s="1244">
        <v>30000</v>
      </c>
      <c r="I475" s="1244"/>
      <c r="J475" s="1243"/>
      <c r="K475" s="1242"/>
      <c r="L475" s="1241"/>
    </row>
    <row r="476" spans="1:12" s="1240" customFormat="1" ht="15" customHeight="1">
      <c r="A476" s="4707"/>
      <c r="B476" s="4710"/>
      <c r="C476" s="4720"/>
      <c r="D476" s="4720"/>
      <c r="E476" s="1249" t="s">
        <v>478</v>
      </c>
      <c r="F476" s="1244">
        <f>SUM(G476:J476)</f>
        <v>70000</v>
      </c>
      <c r="G476" s="1244"/>
      <c r="H476" s="1244">
        <v>70000</v>
      </c>
      <c r="I476" s="1244"/>
      <c r="J476" s="1243"/>
      <c r="K476" s="1242"/>
      <c r="L476" s="1241"/>
    </row>
    <row r="477" spans="1:12" s="1240" customFormat="1" ht="15" customHeight="1">
      <c r="A477" s="4707"/>
      <c r="B477" s="4710"/>
      <c r="C477" s="4720"/>
      <c r="D477" s="4720"/>
      <c r="E477" s="1249" t="s">
        <v>477</v>
      </c>
      <c r="F477" s="1244">
        <f>SUM(G477:J477)</f>
        <v>10000</v>
      </c>
      <c r="G477" s="1244"/>
      <c r="H477" s="1244">
        <v>10000</v>
      </c>
      <c r="I477" s="1244"/>
      <c r="J477" s="1243"/>
      <c r="K477" s="1242"/>
      <c r="L477" s="1241"/>
    </row>
    <row r="478" spans="1:12" s="1240" customFormat="1" ht="15" customHeight="1">
      <c r="A478" s="4707"/>
      <c r="B478" s="4710"/>
      <c r="C478" s="4720"/>
      <c r="D478" s="4720"/>
      <c r="E478" s="1249" t="s">
        <v>476</v>
      </c>
      <c r="F478" s="1244">
        <f>SUM(G478:J478)</f>
        <v>4000</v>
      </c>
      <c r="G478" s="1244"/>
      <c r="H478" s="1244">
        <v>4000</v>
      </c>
      <c r="I478" s="1244"/>
      <c r="J478" s="1243"/>
      <c r="K478" s="1242"/>
      <c r="L478" s="1241"/>
    </row>
    <row r="479" spans="1:12" s="1240" customFormat="1" ht="22.5">
      <c r="A479" s="4707"/>
      <c r="B479" s="4710"/>
      <c r="C479" s="4720"/>
      <c r="D479" s="4720"/>
      <c r="E479" s="1248" t="s">
        <v>427</v>
      </c>
      <c r="F479" s="1247">
        <f>SUM(F480:F489)</f>
        <v>886928</v>
      </c>
      <c r="G479" s="1247">
        <f>SUM(G480:G489)</f>
        <v>0</v>
      </c>
      <c r="H479" s="1247">
        <f>SUM(H480:H489)</f>
        <v>886928</v>
      </c>
      <c r="I479" s="1247">
        <f>SUM(I480:I489)</f>
        <v>0</v>
      </c>
      <c r="J479" s="1246">
        <f>SUM(J480:J489)</f>
        <v>0</v>
      </c>
      <c r="K479" s="1242"/>
      <c r="L479" s="1241"/>
    </row>
    <row r="480" spans="1:12" s="1240" customFormat="1" ht="15" customHeight="1">
      <c r="A480" s="4707"/>
      <c r="B480" s="4710"/>
      <c r="C480" s="4720"/>
      <c r="D480" s="4720"/>
      <c r="E480" s="1249" t="s">
        <v>533</v>
      </c>
      <c r="F480" s="1244">
        <f t="shared" ref="F480:F489" si="19">SUM(G480:J480)</f>
        <v>150000</v>
      </c>
      <c r="G480" s="1244"/>
      <c r="H480" s="1244">
        <v>150000</v>
      </c>
      <c r="I480" s="1244"/>
      <c r="J480" s="1243"/>
      <c r="K480" s="1242"/>
      <c r="L480" s="1241"/>
    </row>
    <row r="481" spans="1:12" s="1240" customFormat="1" ht="15" customHeight="1">
      <c r="A481" s="4707"/>
      <c r="B481" s="4710"/>
      <c r="C481" s="4720"/>
      <c r="D481" s="4720"/>
      <c r="E481" s="1249" t="s">
        <v>561</v>
      </c>
      <c r="F481" s="1244">
        <f t="shared" si="19"/>
        <v>4000</v>
      </c>
      <c r="G481" s="1244"/>
      <c r="H481" s="1244">
        <v>4000</v>
      </c>
      <c r="I481" s="1244"/>
      <c r="J481" s="1243"/>
      <c r="K481" s="1242"/>
      <c r="L481" s="1241"/>
    </row>
    <row r="482" spans="1:12" s="1240" customFormat="1" ht="15" hidden="1" customHeight="1">
      <c r="A482" s="4707"/>
      <c r="B482" s="4710"/>
      <c r="C482" s="4720"/>
      <c r="D482" s="4720"/>
      <c r="E482" s="1249" t="s">
        <v>532</v>
      </c>
      <c r="F482" s="1244">
        <f t="shared" si="19"/>
        <v>0</v>
      </c>
      <c r="G482" s="1244"/>
      <c r="H482" s="1244"/>
      <c r="I482" s="1244"/>
      <c r="J482" s="1243"/>
      <c r="K482" s="1242"/>
      <c r="L482" s="1241"/>
    </row>
    <row r="483" spans="1:12" s="1240" customFormat="1" ht="15" hidden="1" customHeight="1">
      <c r="A483" s="4707"/>
      <c r="B483" s="4710"/>
      <c r="C483" s="4720"/>
      <c r="D483" s="4720"/>
      <c r="E483" s="1249" t="s">
        <v>531</v>
      </c>
      <c r="F483" s="1244">
        <f t="shared" si="19"/>
        <v>0</v>
      </c>
      <c r="G483" s="1244"/>
      <c r="H483" s="1244"/>
      <c r="I483" s="1244"/>
      <c r="J483" s="1243"/>
      <c r="K483" s="1242"/>
      <c r="L483" s="1241"/>
    </row>
    <row r="484" spans="1:12" s="1240" customFormat="1" ht="15" customHeight="1">
      <c r="A484" s="4707"/>
      <c r="B484" s="4710"/>
      <c r="C484" s="4720"/>
      <c r="D484" s="4720"/>
      <c r="E484" s="1249" t="s">
        <v>529</v>
      </c>
      <c r="F484" s="1244">
        <f t="shared" si="19"/>
        <v>675000</v>
      </c>
      <c r="G484" s="1244"/>
      <c r="H484" s="1244">
        <v>675000</v>
      </c>
      <c r="I484" s="1244"/>
      <c r="J484" s="1243"/>
      <c r="K484" s="1242"/>
      <c r="L484" s="1241"/>
    </row>
    <row r="485" spans="1:12" s="1240" customFormat="1" ht="15" customHeight="1">
      <c r="A485" s="4707"/>
      <c r="B485" s="4710"/>
      <c r="C485" s="4720"/>
      <c r="D485" s="4720"/>
      <c r="E485" s="1249" t="s">
        <v>528</v>
      </c>
      <c r="F485" s="1244">
        <f t="shared" si="19"/>
        <v>5000</v>
      </c>
      <c r="G485" s="1244"/>
      <c r="H485" s="1244">
        <v>5000</v>
      </c>
      <c r="I485" s="1244"/>
      <c r="J485" s="1243"/>
      <c r="K485" s="1242"/>
      <c r="L485" s="1241"/>
    </row>
    <row r="486" spans="1:12" s="1240" customFormat="1" ht="15" customHeight="1">
      <c r="A486" s="4707"/>
      <c r="B486" s="4710"/>
      <c r="C486" s="4720"/>
      <c r="D486" s="4720"/>
      <c r="E486" s="1249" t="s">
        <v>527</v>
      </c>
      <c r="F486" s="1244">
        <f t="shared" si="19"/>
        <v>20000</v>
      </c>
      <c r="G486" s="1244"/>
      <c r="H486" s="1244">
        <v>20000</v>
      </c>
      <c r="I486" s="1244"/>
      <c r="J486" s="1243"/>
      <c r="K486" s="1242"/>
      <c r="L486" s="1241"/>
    </row>
    <row r="487" spans="1:12" s="1240" customFormat="1" ht="15" customHeight="1">
      <c r="A487" s="4707"/>
      <c r="B487" s="4710"/>
      <c r="C487" s="4720"/>
      <c r="D487" s="4720"/>
      <c r="E487" s="1249" t="s">
        <v>524</v>
      </c>
      <c r="F487" s="1244">
        <f t="shared" si="19"/>
        <v>11000</v>
      </c>
      <c r="G487" s="1244"/>
      <c r="H487" s="1244">
        <v>11000</v>
      </c>
      <c r="I487" s="1244"/>
      <c r="J487" s="1243"/>
      <c r="K487" s="1242"/>
      <c r="L487" s="1241"/>
    </row>
    <row r="488" spans="1:12" s="1240" customFormat="1" ht="15" customHeight="1">
      <c r="A488" s="4707"/>
      <c r="B488" s="4710"/>
      <c r="C488" s="4720"/>
      <c r="D488" s="4720"/>
      <c r="E488" s="1249" t="s">
        <v>575</v>
      </c>
      <c r="F488" s="1244">
        <f t="shared" si="19"/>
        <v>11000</v>
      </c>
      <c r="G488" s="1244"/>
      <c r="H488" s="1244">
        <v>11000</v>
      </c>
      <c r="I488" s="1244"/>
      <c r="J488" s="1243"/>
      <c r="K488" s="1242"/>
      <c r="L488" s="1241"/>
    </row>
    <row r="489" spans="1:12" s="1240" customFormat="1" ht="15" customHeight="1">
      <c r="A489" s="4707"/>
      <c r="B489" s="4710"/>
      <c r="C489" s="4720"/>
      <c r="D489" s="4720"/>
      <c r="E489" s="1249" t="s">
        <v>519</v>
      </c>
      <c r="F489" s="1244">
        <f t="shared" si="19"/>
        <v>10928</v>
      </c>
      <c r="G489" s="1244"/>
      <c r="H489" s="1244">
        <v>10928</v>
      </c>
      <c r="I489" s="1244"/>
      <c r="J489" s="1243"/>
      <c r="K489" s="1242"/>
      <c r="L489" s="1241"/>
    </row>
    <row r="490" spans="1:12" s="1240" customFormat="1" ht="15" customHeight="1">
      <c r="A490" s="4707"/>
      <c r="B490" s="4710"/>
      <c r="C490" s="4720"/>
      <c r="D490" s="4720"/>
      <c r="E490" s="1239" t="s">
        <v>423</v>
      </c>
      <c r="F490" s="1238">
        <f>SUM(F491:F491)</f>
        <v>3001</v>
      </c>
      <c r="G490" s="1238">
        <f>SUM(G491:G491)</f>
        <v>0</v>
      </c>
      <c r="H490" s="1238">
        <f>SUM(H491:H491)</f>
        <v>3001</v>
      </c>
      <c r="I490" s="1238">
        <f>SUM(I491:I491)</f>
        <v>0</v>
      </c>
      <c r="J490" s="1237">
        <f>SUM(J491:J491)</f>
        <v>0</v>
      </c>
      <c r="K490" s="1242"/>
      <c r="L490" s="1241"/>
    </row>
    <row r="491" spans="1:12" s="1240" customFormat="1" ht="15" customHeight="1">
      <c r="A491" s="4708"/>
      <c r="B491" s="4711"/>
      <c r="C491" s="4719"/>
      <c r="D491" s="4719"/>
      <c r="E491" s="1292" t="s">
        <v>578</v>
      </c>
      <c r="F491" s="1291">
        <f>SUM(G491:J491)</f>
        <v>3001</v>
      </c>
      <c r="G491" s="1291"/>
      <c r="H491" s="1291">
        <v>3001</v>
      </c>
      <c r="I491" s="1291"/>
      <c r="J491" s="1290"/>
      <c r="K491" s="1242"/>
      <c r="L491" s="1241"/>
    </row>
    <row r="492" spans="1:12" s="1240" customFormat="1" ht="15" hidden="1" customHeight="1">
      <c r="A492" s="1235"/>
      <c r="B492" s="1234"/>
      <c r="C492" s="1232"/>
      <c r="D492" s="1232"/>
      <c r="E492" s="1231"/>
      <c r="F492" s="1230">
        <f>SUM(G492:J492)</f>
        <v>0</v>
      </c>
      <c r="G492" s="1230"/>
      <c r="H492" s="1230"/>
      <c r="I492" s="1230"/>
      <c r="J492" s="1229"/>
      <c r="K492" s="1255"/>
      <c r="L492" s="1254"/>
    </row>
    <row r="493" spans="1:12" s="1240" customFormat="1" ht="15" hidden="1" customHeight="1">
      <c r="A493" s="4669"/>
      <c r="B493" s="4672" t="s">
        <v>577</v>
      </c>
      <c r="C493" s="4678" t="s">
        <v>483</v>
      </c>
      <c r="D493" s="4678" t="s">
        <v>576</v>
      </c>
      <c r="E493" s="1269" t="s">
        <v>435</v>
      </c>
      <c r="F493" s="1268">
        <f>SUM(F494,F511)</f>
        <v>0</v>
      </c>
      <c r="G493" s="1268">
        <f>SUM(G494,G511)</f>
        <v>0</v>
      </c>
      <c r="H493" s="1268">
        <f>SUM(H494,H511)</f>
        <v>0</v>
      </c>
      <c r="I493" s="1268">
        <f>SUM(I494,I511)</f>
        <v>0</v>
      </c>
      <c r="J493" s="1267">
        <f>SUM(J494,J511)</f>
        <v>0</v>
      </c>
      <c r="K493" s="1280"/>
      <c r="L493" s="1254"/>
    </row>
    <row r="494" spans="1:12" s="1240" customFormat="1" ht="15" hidden="1" customHeight="1">
      <c r="A494" s="4670"/>
      <c r="B494" s="4673"/>
      <c r="C494" s="4679"/>
      <c r="D494" s="4679"/>
      <c r="E494" s="1266" t="s">
        <v>434</v>
      </c>
      <c r="F494" s="1261">
        <f>SUM(F495,F497,F504)</f>
        <v>0</v>
      </c>
      <c r="G494" s="1261">
        <f>SUM(G495,G497,G504)</f>
        <v>0</v>
      </c>
      <c r="H494" s="1261">
        <f>SUM(H495,H497,H504)</f>
        <v>0</v>
      </c>
      <c r="I494" s="1261">
        <f>SUM(I495,I497,I504)</f>
        <v>0</v>
      </c>
      <c r="J494" s="1260">
        <f>SUM(J495,J497,J504)</f>
        <v>0</v>
      </c>
      <c r="K494" s="1272"/>
      <c r="L494" s="1254"/>
    </row>
    <row r="495" spans="1:12" s="1240" customFormat="1" ht="15" hidden="1" customHeight="1">
      <c r="A495" s="4670"/>
      <c r="B495" s="4673"/>
      <c r="C495" s="4679"/>
      <c r="D495" s="4679"/>
      <c r="E495" s="1265" t="s">
        <v>433</v>
      </c>
      <c r="F495" s="1264">
        <f>SUM(F496)</f>
        <v>0</v>
      </c>
      <c r="G495" s="1264">
        <f>SUM(G496)</f>
        <v>0</v>
      </c>
      <c r="H495" s="1264">
        <f>SUM(H496)</f>
        <v>0</v>
      </c>
      <c r="I495" s="1264">
        <f>SUM(I496)</f>
        <v>0</v>
      </c>
      <c r="J495" s="1263">
        <f>SUM(J496)</f>
        <v>0</v>
      </c>
      <c r="K495" s="1272"/>
      <c r="L495" s="1254"/>
    </row>
    <row r="496" spans="1:12" s="1240" customFormat="1" ht="15" hidden="1" customHeight="1">
      <c r="A496" s="4670"/>
      <c r="B496" s="4673"/>
      <c r="C496" s="4679"/>
      <c r="D496" s="4679"/>
      <c r="E496" s="1236" t="s">
        <v>480</v>
      </c>
      <c r="F496" s="1230">
        <f>SUM(G496:J496)</f>
        <v>0</v>
      </c>
      <c r="G496" s="1230">
        <f>13310-13310</f>
        <v>0</v>
      </c>
      <c r="H496" s="1230"/>
      <c r="I496" s="1230"/>
      <c r="J496" s="1229"/>
      <c r="K496" s="1272"/>
      <c r="L496" s="1254"/>
    </row>
    <row r="497" spans="1:12" s="1240" customFormat="1" ht="15" hidden="1" customHeight="1">
      <c r="A497" s="4670"/>
      <c r="B497" s="4673"/>
      <c r="C497" s="4679"/>
      <c r="D497" s="4679"/>
      <c r="E497" s="1265" t="s">
        <v>432</v>
      </c>
      <c r="F497" s="1264">
        <f>SUM(F498:F503)</f>
        <v>0</v>
      </c>
      <c r="G497" s="1264">
        <f>SUM(G498:G503)</f>
        <v>0</v>
      </c>
      <c r="H497" s="1264">
        <f>SUM(H498:H503)</f>
        <v>0</v>
      </c>
      <c r="I497" s="1264">
        <f>SUM(I498:I503)</f>
        <v>0</v>
      </c>
      <c r="J497" s="1263">
        <f>SUM(J498:J503)</f>
        <v>0</v>
      </c>
      <c r="K497" s="1255"/>
      <c r="L497" s="1254"/>
    </row>
    <row r="498" spans="1:12" s="1240" customFormat="1" ht="15" hidden="1" customHeight="1">
      <c r="A498" s="4670"/>
      <c r="B498" s="4673"/>
      <c r="C498" s="4679"/>
      <c r="D498" s="4679"/>
      <c r="E498" s="1236" t="s">
        <v>479</v>
      </c>
      <c r="F498" s="1230">
        <f t="shared" ref="F498:F503" si="20">SUM(G498:J498)</f>
        <v>0</v>
      </c>
      <c r="G498" s="1230"/>
      <c r="H498" s="1230"/>
      <c r="I498" s="1230"/>
      <c r="J498" s="1229"/>
      <c r="K498" s="1272"/>
      <c r="L498" s="1254"/>
    </row>
    <row r="499" spans="1:12" s="1240" customFormat="1" ht="15" hidden="1" customHeight="1">
      <c r="A499" s="4670"/>
      <c r="B499" s="4673"/>
      <c r="C499" s="4679"/>
      <c r="D499" s="4679"/>
      <c r="E499" s="1236" t="s">
        <v>461</v>
      </c>
      <c r="F499" s="1230">
        <f t="shared" si="20"/>
        <v>0</v>
      </c>
      <c r="G499" s="1230"/>
      <c r="H499" s="1230"/>
      <c r="I499" s="1230"/>
      <c r="J499" s="1229"/>
      <c r="K499" s="1272"/>
      <c r="L499" s="1254"/>
    </row>
    <row r="500" spans="1:12" s="1240" customFormat="1" ht="15" hidden="1" customHeight="1">
      <c r="A500" s="4670"/>
      <c r="B500" s="4673"/>
      <c r="C500" s="4679"/>
      <c r="D500" s="4679"/>
      <c r="E500" s="1236" t="s">
        <v>478</v>
      </c>
      <c r="F500" s="1230">
        <f t="shared" si="20"/>
        <v>0</v>
      </c>
      <c r="G500" s="1230"/>
      <c r="H500" s="1230"/>
      <c r="I500" s="1230"/>
      <c r="J500" s="1229"/>
      <c r="K500" s="1272"/>
      <c r="L500" s="1254"/>
    </row>
    <row r="501" spans="1:12" s="1240" customFormat="1" ht="15" hidden="1" customHeight="1">
      <c r="A501" s="4670"/>
      <c r="B501" s="4673"/>
      <c r="C501" s="4679"/>
      <c r="D501" s="4679"/>
      <c r="E501" s="1236" t="s">
        <v>459</v>
      </c>
      <c r="F501" s="1230">
        <f t="shared" si="20"/>
        <v>0</v>
      </c>
      <c r="G501" s="1230"/>
      <c r="H501" s="1230"/>
      <c r="I501" s="1230"/>
      <c r="J501" s="1229"/>
      <c r="K501" s="1280"/>
      <c r="L501" s="1254"/>
    </row>
    <row r="502" spans="1:12" s="1240" customFormat="1" ht="15" hidden="1" customHeight="1">
      <c r="A502" s="4670"/>
      <c r="B502" s="4673"/>
      <c r="C502" s="4679"/>
      <c r="D502" s="4679"/>
      <c r="E502" s="1236" t="s">
        <v>477</v>
      </c>
      <c r="F502" s="1230">
        <f t="shared" si="20"/>
        <v>0</v>
      </c>
      <c r="G502" s="1230"/>
      <c r="H502" s="1230"/>
      <c r="I502" s="1230"/>
      <c r="J502" s="1229"/>
      <c r="K502" s="1255"/>
      <c r="L502" s="1254"/>
    </row>
    <row r="503" spans="1:12" s="1240" customFormat="1" ht="15" hidden="1" customHeight="1">
      <c r="A503" s="4670"/>
      <c r="B503" s="4673"/>
      <c r="C503" s="4679"/>
      <c r="D503" s="4679"/>
      <c r="E503" s="1236" t="s">
        <v>457</v>
      </c>
      <c r="F503" s="1230">
        <f t="shared" si="20"/>
        <v>0</v>
      </c>
      <c r="G503" s="1230"/>
      <c r="H503" s="1230"/>
      <c r="I503" s="1230"/>
      <c r="J503" s="1229"/>
      <c r="K503" s="1255"/>
      <c r="L503" s="1254"/>
    </row>
    <row r="504" spans="1:12" s="1240" customFormat="1" ht="15" hidden="1" customHeight="1">
      <c r="A504" s="4670"/>
      <c r="B504" s="4673"/>
      <c r="C504" s="4679"/>
      <c r="D504" s="4679"/>
      <c r="E504" s="1265" t="s">
        <v>427</v>
      </c>
      <c r="F504" s="1264">
        <f>SUM(F505:F510)</f>
        <v>0</v>
      </c>
      <c r="G504" s="1264">
        <f>SUM(G505:G510)</f>
        <v>0</v>
      </c>
      <c r="H504" s="1264">
        <f>SUM(H505:H510)</f>
        <v>0</v>
      </c>
      <c r="I504" s="1264">
        <f>SUM(I505:I510)</f>
        <v>0</v>
      </c>
      <c r="J504" s="1263">
        <f>SUM(J505:J510)</f>
        <v>0</v>
      </c>
      <c r="K504" s="1255"/>
      <c r="L504" s="1254"/>
    </row>
    <row r="505" spans="1:12" s="1240" customFormat="1" ht="15" hidden="1" customHeight="1">
      <c r="A505" s="4670"/>
      <c r="B505" s="4673"/>
      <c r="C505" s="4679"/>
      <c r="D505" s="4679"/>
      <c r="E505" s="1236" t="s">
        <v>533</v>
      </c>
      <c r="F505" s="1230">
        <f t="shared" ref="F505:F510" si="21">SUM(G505:J505)</f>
        <v>0</v>
      </c>
      <c r="G505" s="1230"/>
      <c r="H505" s="1230"/>
      <c r="I505" s="1230"/>
      <c r="J505" s="1229"/>
      <c r="K505" s="1255"/>
      <c r="L505" s="1254"/>
    </row>
    <row r="506" spans="1:12" s="1240" customFormat="1" ht="15" hidden="1" customHeight="1">
      <c r="A506" s="4670"/>
      <c r="B506" s="4673"/>
      <c r="C506" s="4679"/>
      <c r="D506" s="4679"/>
      <c r="E506" s="1236" t="s">
        <v>449</v>
      </c>
      <c r="F506" s="1230">
        <f t="shared" si="21"/>
        <v>0</v>
      </c>
      <c r="G506" s="1230"/>
      <c r="H506" s="1230"/>
      <c r="I506" s="1230"/>
      <c r="J506" s="1229"/>
      <c r="K506" s="1255"/>
      <c r="L506" s="1254"/>
    </row>
    <row r="507" spans="1:12" s="1240" customFormat="1" ht="15" hidden="1" customHeight="1">
      <c r="A507" s="4670"/>
      <c r="B507" s="4673"/>
      <c r="C507" s="4679"/>
      <c r="D507" s="4679"/>
      <c r="E507" s="1236" t="s">
        <v>529</v>
      </c>
      <c r="F507" s="1230">
        <f t="shared" si="21"/>
        <v>0</v>
      </c>
      <c r="G507" s="1230"/>
      <c r="H507" s="1230"/>
      <c r="I507" s="1230"/>
      <c r="J507" s="1229"/>
      <c r="K507" s="1255"/>
      <c r="L507" s="1254"/>
    </row>
    <row r="508" spans="1:12" s="1240" customFormat="1" ht="15" hidden="1" customHeight="1">
      <c r="A508" s="4670"/>
      <c r="B508" s="4673"/>
      <c r="C508" s="4679"/>
      <c r="D508" s="4679"/>
      <c r="E508" s="1236" t="s">
        <v>445</v>
      </c>
      <c r="F508" s="1230">
        <f t="shared" si="21"/>
        <v>0</v>
      </c>
      <c r="G508" s="1230"/>
      <c r="H508" s="1230"/>
      <c r="I508" s="1230"/>
      <c r="J508" s="1229"/>
      <c r="K508" s="1255"/>
      <c r="L508" s="1254"/>
    </row>
    <row r="509" spans="1:12" s="1240" customFormat="1" ht="15" hidden="1" customHeight="1">
      <c r="A509" s="4670"/>
      <c r="B509" s="4673"/>
      <c r="C509" s="4679"/>
      <c r="D509" s="4679"/>
      <c r="E509" s="1236" t="s">
        <v>575</v>
      </c>
      <c r="F509" s="1230">
        <f t="shared" si="21"/>
        <v>0</v>
      </c>
      <c r="G509" s="1230"/>
      <c r="H509" s="1230"/>
      <c r="I509" s="1230"/>
      <c r="J509" s="1229"/>
      <c r="K509" s="1255"/>
      <c r="L509" s="1254"/>
    </row>
    <row r="510" spans="1:12" s="1240" customFormat="1" ht="15" hidden="1" customHeight="1">
      <c r="A510" s="4670"/>
      <c r="B510" s="4673"/>
      <c r="C510" s="4679"/>
      <c r="D510" s="4679"/>
      <c r="E510" s="1236" t="s">
        <v>574</v>
      </c>
      <c r="F510" s="1230">
        <f t="shared" si="21"/>
        <v>0</v>
      </c>
      <c r="G510" s="1230"/>
      <c r="H510" s="1230"/>
      <c r="I510" s="1230"/>
      <c r="J510" s="1229"/>
      <c r="K510" s="1255"/>
      <c r="L510" s="1254"/>
    </row>
    <row r="511" spans="1:12" s="1240" customFormat="1" ht="15" hidden="1" customHeight="1">
      <c r="A511" s="4671"/>
      <c r="B511" s="4674"/>
      <c r="C511" s="4680"/>
      <c r="D511" s="4680"/>
      <c r="E511" s="1262" t="s">
        <v>423</v>
      </c>
      <c r="F511" s="1261">
        <f>SUM(F512:F513)</f>
        <v>0</v>
      </c>
      <c r="G511" s="1261">
        <f>SUM(G512:G513)</f>
        <v>0</v>
      </c>
      <c r="H511" s="1261">
        <f>SUM(H512:H513)</f>
        <v>0</v>
      </c>
      <c r="I511" s="1261">
        <f>SUM(I512:I513)</f>
        <v>0</v>
      </c>
      <c r="J511" s="1260">
        <f>SUM(J512:J513)</f>
        <v>0</v>
      </c>
      <c r="K511" s="1255"/>
      <c r="L511" s="1254"/>
    </row>
    <row r="512" spans="1:12" s="1240" customFormat="1" ht="15" hidden="1" customHeight="1">
      <c r="A512" s="1235"/>
      <c r="B512" s="1234"/>
      <c r="C512" s="1232"/>
      <c r="D512" s="1232"/>
      <c r="E512" s="1236"/>
      <c r="F512" s="1230">
        <f>SUM(G512:J512)</f>
        <v>0</v>
      </c>
      <c r="G512" s="1230"/>
      <c r="H512" s="1230"/>
      <c r="I512" s="1230"/>
      <c r="J512" s="1229"/>
      <c r="K512" s="1255"/>
      <c r="L512" s="1254"/>
    </row>
    <row r="513" spans="1:15" s="1240" customFormat="1" ht="15" hidden="1" customHeight="1">
      <c r="A513" s="1235"/>
      <c r="B513" s="1234"/>
      <c r="C513" s="1232"/>
      <c r="D513" s="1232"/>
      <c r="E513" s="1231"/>
      <c r="F513" s="1230">
        <f>SUM(G513:J513)</f>
        <v>0</v>
      </c>
      <c r="G513" s="1230"/>
      <c r="H513" s="1230"/>
      <c r="I513" s="1230"/>
      <c r="J513" s="1229"/>
      <c r="K513" s="1255"/>
      <c r="L513" s="1254"/>
    </row>
    <row r="514" spans="1:15" s="1240" customFormat="1" ht="22.5">
      <c r="A514" s="4706" t="s">
        <v>573</v>
      </c>
      <c r="B514" s="4709" t="s">
        <v>572</v>
      </c>
      <c r="C514" s="4718" t="s">
        <v>483</v>
      </c>
      <c r="D514" s="4718" t="s">
        <v>571</v>
      </c>
      <c r="E514" s="1253" t="s">
        <v>435</v>
      </c>
      <c r="F514" s="1252">
        <f>SUM(F515,F537)</f>
        <v>93800</v>
      </c>
      <c r="G514" s="1252">
        <f>SUM(G515,G537)</f>
        <v>0</v>
      </c>
      <c r="H514" s="1252">
        <f>SUM(H515,H537)</f>
        <v>79055</v>
      </c>
      <c r="I514" s="1252">
        <f>SUM(I515,I537)</f>
        <v>14745</v>
      </c>
      <c r="J514" s="1251">
        <f>SUM(J515,J537)</f>
        <v>0</v>
      </c>
      <c r="K514" s="1280"/>
      <c r="L514" s="1279"/>
      <c r="M514" s="1279"/>
      <c r="N514" s="1279"/>
      <c r="O514" s="1279"/>
    </row>
    <row r="515" spans="1:15" s="1240" customFormat="1" ht="21">
      <c r="A515" s="4707"/>
      <c r="B515" s="4710"/>
      <c r="C515" s="4720"/>
      <c r="D515" s="4720"/>
      <c r="E515" s="1250" t="s">
        <v>434</v>
      </c>
      <c r="F515" s="1238">
        <f>SUM(F516,F521,F530)</f>
        <v>47800</v>
      </c>
      <c r="G515" s="1238">
        <f>SUM(G516,G521,G530)</f>
        <v>0</v>
      </c>
      <c r="H515" s="1238">
        <f>SUM(H516,H521,H530)</f>
        <v>40286</v>
      </c>
      <c r="I515" s="1238">
        <f>SUM(I516,I521,I530)</f>
        <v>7514</v>
      </c>
      <c r="J515" s="1237">
        <f>SUM(J516,J521,J530)</f>
        <v>0</v>
      </c>
      <c r="K515" s="1272"/>
      <c r="L515" s="1254"/>
      <c r="M515" s="1254"/>
      <c r="N515" s="1254"/>
      <c r="O515" s="1254"/>
    </row>
    <row r="516" spans="1:15" s="1240" customFormat="1" ht="15" hidden="1" customHeight="1">
      <c r="A516" s="4707"/>
      <c r="B516" s="4710"/>
      <c r="C516" s="4720"/>
      <c r="D516" s="4720"/>
      <c r="E516" s="1248" t="s">
        <v>433</v>
      </c>
      <c r="F516" s="1247">
        <f>SUM(F517:F520)</f>
        <v>0</v>
      </c>
      <c r="G516" s="1247">
        <f>SUM(G517:G520)</f>
        <v>0</v>
      </c>
      <c r="H516" s="1247">
        <f>SUM(H517:H520)</f>
        <v>0</v>
      </c>
      <c r="I516" s="1247">
        <f>SUM(I517:I520)</f>
        <v>0</v>
      </c>
      <c r="J516" s="1246">
        <f>SUM(J517:J520)</f>
        <v>0</v>
      </c>
      <c r="K516" s="1272"/>
      <c r="L516" s="1254"/>
      <c r="M516" s="1254"/>
      <c r="N516" s="1254"/>
      <c r="O516" s="1254"/>
    </row>
    <row r="517" spans="1:15" s="1240" customFormat="1" ht="15" hidden="1" customHeight="1">
      <c r="A517" s="4707"/>
      <c r="B517" s="4710"/>
      <c r="C517" s="4720"/>
      <c r="D517" s="4720"/>
      <c r="E517" s="1249" t="s">
        <v>196</v>
      </c>
      <c r="F517" s="1244">
        <f>SUM(G517:J517)</f>
        <v>0</v>
      </c>
      <c r="G517" s="1244"/>
      <c r="H517" s="1244"/>
      <c r="I517" s="1244"/>
      <c r="J517" s="1243"/>
      <c r="K517" s="1255"/>
      <c r="L517" s="1254"/>
    </row>
    <row r="518" spans="1:15" s="1240" customFormat="1" ht="15" hidden="1" customHeight="1">
      <c r="A518" s="4707"/>
      <c r="B518" s="4710"/>
      <c r="C518" s="4720"/>
      <c r="D518" s="4720"/>
      <c r="E518" s="1249" t="s">
        <v>359</v>
      </c>
      <c r="F518" s="1244">
        <f>SUM(G518:J518)</f>
        <v>0</v>
      </c>
      <c r="G518" s="1244"/>
      <c r="H518" s="1244"/>
      <c r="I518" s="1244"/>
      <c r="J518" s="1243"/>
      <c r="K518" s="1255"/>
      <c r="L518" s="1254"/>
    </row>
    <row r="519" spans="1:15" s="1240" customFormat="1" ht="15" hidden="1" customHeight="1">
      <c r="A519" s="4707"/>
      <c r="B519" s="4710"/>
      <c r="C519" s="4720"/>
      <c r="D519" s="4720"/>
      <c r="E519" s="1249" t="s">
        <v>183</v>
      </c>
      <c r="F519" s="1244">
        <f>SUM(G519:J519)</f>
        <v>0</v>
      </c>
      <c r="G519" s="1244"/>
      <c r="H519" s="1244"/>
      <c r="I519" s="1244"/>
      <c r="J519" s="1243"/>
      <c r="K519" s="1255"/>
      <c r="L519" s="1254"/>
    </row>
    <row r="520" spans="1:15" s="1240" customFormat="1" ht="15" hidden="1" customHeight="1">
      <c r="A520" s="4707"/>
      <c r="B520" s="4710"/>
      <c r="C520" s="4720"/>
      <c r="D520" s="4720"/>
      <c r="E520" s="1249" t="s">
        <v>185</v>
      </c>
      <c r="F520" s="1244">
        <f>SUM(G520:J520)</f>
        <v>0</v>
      </c>
      <c r="G520" s="1244"/>
      <c r="H520" s="1244"/>
      <c r="I520" s="1244"/>
      <c r="J520" s="1243"/>
      <c r="K520" s="1255"/>
      <c r="L520" s="1254"/>
    </row>
    <row r="521" spans="1:15" s="1240" customFormat="1" ht="22.5" hidden="1">
      <c r="A521" s="4707"/>
      <c r="B521" s="4710"/>
      <c r="C521" s="4720"/>
      <c r="D521" s="4720"/>
      <c r="E521" s="1248" t="s">
        <v>432</v>
      </c>
      <c r="F521" s="1247">
        <f>SUM(F522:F529)</f>
        <v>0</v>
      </c>
      <c r="G521" s="1247">
        <f>SUM(G522:G529)</f>
        <v>0</v>
      </c>
      <c r="H521" s="1247">
        <f>SUM(H522:H529)</f>
        <v>0</v>
      </c>
      <c r="I521" s="1247">
        <f>SUM(I522:I529)</f>
        <v>0</v>
      </c>
      <c r="J521" s="1246">
        <f>SUM(J522:J529)</f>
        <v>0</v>
      </c>
      <c r="K521" s="1255"/>
      <c r="L521" s="1254"/>
    </row>
    <row r="522" spans="1:15" s="1240" customFormat="1" ht="15" hidden="1" customHeight="1">
      <c r="A522" s="4707"/>
      <c r="B522" s="4710"/>
      <c r="C522" s="4720"/>
      <c r="D522" s="4720"/>
      <c r="E522" s="1249"/>
      <c r="F522" s="1244">
        <f t="shared" ref="F522:F529" si="22">SUM(G522:J522)</f>
        <v>0</v>
      </c>
      <c r="G522" s="1244"/>
      <c r="H522" s="1244"/>
      <c r="I522" s="1244"/>
      <c r="J522" s="1243"/>
      <c r="K522" s="1255"/>
      <c r="L522" s="1254"/>
    </row>
    <row r="523" spans="1:15" s="1240" customFormat="1" ht="15" hidden="1" customHeight="1">
      <c r="A523" s="4707"/>
      <c r="B523" s="4710"/>
      <c r="C523" s="4720"/>
      <c r="D523" s="4720"/>
      <c r="E523" s="1249"/>
      <c r="F523" s="1244">
        <f t="shared" si="22"/>
        <v>0</v>
      </c>
      <c r="G523" s="1244"/>
      <c r="H523" s="1244"/>
      <c r="I523" s="1244"/>
      <c r="J523" s="1243"/>
      <c r="K523" s="1255"/>
      <c r="L523" s="1254"/>
    </row>
    <row r="524" spans="1:15" s="1240" customFormat="1" ht="15" hidden="1" customHeight="1">
      <c r="A524" s="4707"/>
      <c r="B524" s="4710"/>
      <c r="C524" s="4720"/>
      <c r="D524" s="4720"/>
      <c r="E524" s="1249"/>
      <c r="F524" s="1244">
        <f t="shared" si="22"/>
        <v>0</v>
      </c>
      <c r="G524" s="1244"/>
      <c r="H524" s="1244"/>
      <c r="I524" s="1244"/>
      <c r="J524" s="1243"/>
      <c r="K524" s="1255"/>
      <c r="L524" s="1254"/>
    </row>
    <row r="525" spans="1:15" s="1240" customFormat="1" ht="15" hidden="1" customHeight="1">
      <c r="A525" s="4707"/>
      <c r="B525" s="4710"/>
      <c r="C525" s="4720"/>
      <c r="D525" s="4720"/>
      <c r="E525" s="1249"/>
      <c r="F525" s="1244">
        <f t="shared" si="22"/>
        <v>0</v>
      </c>
      <c r="G525" s="1244"/>
      <c r="H525" s="1244"/>
      <c r="I525" s="1244"/>
      <c r="J525" s="1243"/>
      <c r="K525" s="1255"/>
      <c r="L525" s="1254"/>
    </row>
    <row r="526" spans="1:15" s="1240" customFormat="1" ht="15" hidden="1" customHeight="1">
      <c r="A526" s="4707"/>
      <c r="B526" s="4710"/>
      <c r="C526" s="4720"/>
      <c r="D526" s="4720"/>
      <c r="E526" s="1249"/>
      <c r="F526" s="1244">
        <f t="shared" si="22"/>
        <v>0</v>
      </c>
      <c r="G526" s="1244"/>
      <c r="H526" s="1244"/>
      <c r="I526" s="1244"/>
      <c r="J526" s="1243"/>
      <c r="K526" s="1255"/>
      <c r="L526" s="1254"/>
    </row>
    <row r="527" spans="1:15" s="1240" customFormat="1" ht="15" hidden="1" customHeight="1">
      <c r="A527" s="4707"/>
      <c r="B527" s="4710"/>
      <c r="C527" s="4720"/>
      <c r="D527" s="4720"/>
      <c r="E527" s="1249"/>
      <c r="F527" s="1244">
        <f t="shared" si="22"/>
        <v>0</v>
      </c>
      <c r="G527" s="1244"/>
      <c r="H527" s="1244"/>
      <c r="I527" s="1244"/>
      <c r="J527" s="1243"/>
      <c r="K527" s="1255"/>
      <c r="L527" s="1254"/>
    </row>
    <row r="528" spans="1:15" s="1240" customFormat="1" ht="15" hidden="1" customHeight="1">
      <c r="A528" s="4707"/>
      <c r="B528" s="4710"/>
      <c r="C528" s="4720"/>
      <c r="D528" s="4720"/>
      <c r="E528" s="1249"/>
      <c r="F528" s="1244">
        <f t="shared" si="22"/>
        <v>0</v>
      </c>
      <c r="G528" s="1244"/>
      <c r="H528" s="1244"/>
      <c r="I528" s="1244"/>
      <c r="J528" s="1243"/>
      <c r="K528" s="1255"/>
      <c r="L528" s="1254"/>
    </row>
    <row r="529" spans="1:15" s="1240" customFormat="1" ht="15" hidden="1" customHeight="1">
      <c r="A529" s="4707"/>
      <c r="B529" s="4710"/>
      <c r="C529" s="4720"/>
      <c r="D529" s="4720"/>
      <c r="E529" s="1249"/>
      <c r="F529" s="1244">
        <f t="shared" si="22"/>
        <v>0</v>
      </c>
      <c r="G529" s="1244"/>
      <c r="H529" s="1244"/>
      <c r="I529" s="1244"/>
      <c r="J529" s="1243"/>
      <c r="K529" s="1255"/>
      <c r="L529" s="1254"/>
    </row>
    <row r="530" spans="1:15" s="1240" customFormat="1" ht="22.5">
      <c r="A530" s="4707"/>
      <c r="B530" s="4710"/>
      <c r="C530" s="4720"/>
      <c r="D530" s="4720"/>
      <c r="E530" s="1248" t="s">
        <v>427</v>
      </c>
      <c r="F530" s="1247">
        <f>SUM(F531:F536)</f>
        <v>47800</v>
      </c>
      <c r="G530" s="1247">
        <f>SUM(G531:G536)</f>
        <v>0</v>
      </c>
      <c r="H530" s="1247">
        <f>SUM(H531:H536)</f>
        <v>40286</v>
      </c>
      <c r="I530" s="1247">
        <f>SUM(I531:I536)</f>
        <v>7514</v>
      </c>
      <c r="J530" s="1246">
        <f>SUM(J531:J536)</f>
        <v>0</v>
      </c>
      <c r="K530" s="1242"/>
      <c r="L530" s="1241"/>
      <c r="M530" s="1256"/>
    </row>
    <row r="531" spans="1:15" s="1240" customFormat="1" ht="15" customHeight="1">
      <c r="A531" s="4707"/>
      <c r="B531" s="4710"/>
      <c r="C531" s="4720"/>
      <c r="D531" s="4720"/>
      <c r="E531" s="1249" t="s">
        <v>450</v>
      </c>
      <c r="F531" s="1244">
        <f t="shared" ref="F531:F536" si="23">SUM(G531:J531)</f>
        <v>36072</v>
      </c>
      <c r="G531" s="1244"/>
      <c r="H531" s="1244">
        <v>36072</v>
      </c>
      <c r="I531" s="1244"/>
      <c r="J531" s="1243"/>
      <c r="K531" s="1242"/>
      <c r="L531" s="1241"/>
      <c r="M531" s="1256"/>
    </row>
    <row r="532" spans="1:15" s="1240" customFormat="1" ht="15" customHeight="1">
      <c r="A532" s="4707"/>
      <c r="B532" s="4710"/>
      <c r="C532" s="4720"/>
      <c r="D532" s="4720"/>
      <c r="E532" s="1249" t="s">
        <v>449</v>
      </c>
      <c r="F532" s="1244">
        <f t="shared" si="23"/>
        <v>6728</v>
      </c>
      <c r="G532" s="1244"/>
      <c r="H532" s="1244"/>
      <c r="I532" s="1244">
        <v>6728</v>
      </c>
      <c r="J532" s="1243"/>
      <c r="K532" s="1242"/>
      <c r="L532" s="1241"/>
      <c r="M532" s="1256"/>
    </row>
    <row r="533" spans="1:15" s="1240" customFormat="1" ht="15" customHeight="1">
      <c r="A533" s="4707"/>
      <c r="B533" s="4710"/>
      <c r="C533" s="4720"/>
      <c r="D533" s="4720"/>
      <c r="E533" s="1249" t="s">
        <v>570</v>
      </c>
      <c r="F533" s="1244">
        <f t="shared" si="23"/>
        <v>4214</v>
      </c>
      <c r="G533" s="1244"/>
      <c r="H533" s="1244">
        <v>4214</v>
      </c>
      <c r="I533" s="1244"/>
      <c r="J533" s="1243"/>
      <c r="K533" s="1242"/>
      <c r="L533" s="1241"/>
      <c r="M533" s="1256"/>
    </row>
    <row r="534" spans="1:15" s="1240" customFormat="1" ht="15" customHeight="1">
      <c r="A534" s="4707"/>
      <c r="B534" s="4710"/>
      <c r="C534" s="4720"/>
      <c r="D534" s="4720"/>
      <c r="E534" s="1249" t="s">
        <v>526</v>
      </c>
      <c r="F534" s="1244">
        <f t="shared" si="23"/>
        <v>786</v>
      </c>
      <c r="G534" s="1244"/>
      <c r="H534" s="1244"/>
      <c r="I534" s="1244">
        <v>786</v>
      </c>
      <c r="J534" s="1243"/>
      <c r="K534" s="1242"/>
      <c r="L534" s="1241"/>
      <c r="M534" s="1256"/>
    </row>
    <row r="535" spans="1:15" s="1240" customFormat="1" ht="15" hidden="1" customHeight="1">
      <c r="A535" s="4707"/>
      <c r="B535" s="4710"/>
      <c r="C535" s="4720"/>
      <c r="D535" s="4720"/>
      <c r="E535" s="1249"/>
      <c r="F535" s="1244">
        <f t="shared" si="23"/>
        <v>0</v>
      </c>
      <c r="G535" s="1244"/>
      <c r="H535" s="1244"/>
      <c r="I535" s="1244"/>
      <c r="J535" s="1243"/>
      <c r="K535" s="1242"/>
      <c r="L535" s="1241"/>
      <c r="M535" s="1256"/>
    </row>
    <row r="536" spans="1:15" s="1240" customFormat="1" ht="15" hidden="1" customHeight="1">
      <c r="A536" s="4707"/>
      <c r="B536" s="4710"/>
      <c r="C536" s="4720"/>
      <c r="D536" s="4720"/>
      <c r="E536" s="1249"/>
      <c r="F536" s="1244">
        <f t="shared" si="23"/>
        <v>0</v>
      </c>
      <c r="G536" s="1244"/>
      <c r="H536" s="1244"/>
      <c r="I536" s="1244"/>
      <c r="J536" s="1243"/>
      <c r="K536" s="1242"/>
      <c r="L536" s="1241"/>
      <c r="M536" s="1256"/>
    </row>
    <row r="537" spans="1:15" s="1240" customFormat="1" ht="15" customHeight="1">
      <c r="A537" s="4707"/>
      <c r="B537" s="4710"/>
      <c r="C537" s="4720"/>
      <c r="D537" s="4720"/>
      <c r="E537" s="1239" t="s">
        <v>423</v>
      </c>
      <c r="F537" s="1238">
        <f>SUM(F538:F539)</f>
        <v>46000</v>
      </c>
      <c r="G537" s="1238">
        <f>SUM(G538:G539)</f>
        <v>0</v>
      </c>
      <c r="H537" s="1238">
        <f>SUM(H538:H539)</f>
        <v>38769</v>
      </c>
      <c r="I537" s="1238">
        <f>SUM(I538:I539)</f>
        <v>7231</v>
      </c>
      <c r="J537" s="1237">
        <f>SUM(J538:J539)</f>
        <v>0</v>
      </c>
      <c r="K537" s="1242"/>
      <c r="L537" s="1241"/>
      <c r="M537" s="1256"/>
    </row>
    <row r="538" spans="1:15" s="1240" customFormat="1" ht="15" customHeight="1">
      <c r="A538" s="4707"/>
      <c r="B538" s="4710"/>
      <c r="C538" s="4720"/>
      <c r="D538" s="4720"/>
      <c r="E538" s="1249" t="s">
        <v>504</v>
      </c>
      <c r="F538" s="1244">
        <f>SUM(G538:J538)</f>
        <v>38769</v>
      </c>
      <c r="G538" s="1244"/>
      <c r="H538" s="1244">
        <v>38769</v>
      </c>
      <c r="I538" s="1244"/>
      <c r="J538" s="1243"/>
      <c r="K538" s="1242"/>
      <c r="L538" s="1241"/>
      <c r="M538" s="1256"/>
    </row>
    <row r="539" spans="1:15" s="1240" customFormat="1" ht="15" customHeight="1">
      <c r="A539" s="4708"/>
      <c r="B539" s="4711"/>
      <c r="C539" s="4719"/>
      <c r="D539" s="4719"/>
      <c r="E539" s="1249" t="s">
        <v>569</v>
      </c>
      <c r="F539" s="1244">
        <f>SUM(G539:J539)</f>
        <v>7231</v>
      </c>
      <c r="G539" s="1244"/>
      <c r="H539" s="1244"/>
      <c r="I539" s="1244">
        <v>7231</v>
      </c>
      <c r="J539" s="1243"/>
      <c r="K539" s="1242"/>
      <c r="L539" s="1241"/>
      <c r="M539" s="1256"/>
    </row>
    <row r="540" spans="1:15" s="1240" customFormat="1" ht="22.5">
      <c r="A540" s="4706" t="s">
        <v>568</v>
      </c>
      <c r="B540" s="4709" t="s">
        <v>567</v>
      </c>
      <c r="C540" s="4718" t="s">
        <v>483</v>
      </c>
      <c r="D540" s="4718" t="s">
        <v>482</v>
      </c>
      <c r="E540" s="1253" t="s">
        <v>435</v>
      </c>
      <c r="F540" s="1252">
        <f>SUM(F541,F567)</f>
        <v>3928529</v>
      </c>
      <c r="G540" s="1252">
        <f>SUM(G541,G567)</f>
        <v>0</v>
      </c>
      <c r="H540" s="1252">
        <f>SUM(H541,H567)</f>
        <v>3704209</v>
      </c>
      <c r="I540" s="1252">
        <f>SUM(I541,I567)</f>
        <v>224320</v>
      </c>
      <c r="J540" s="1251">
        <f>SUM(J541,J567)</f>
        <v>0</v>
      </c>
      <c r="K540" s="1306"/>
      <c r="L540" s="1241"/>
      <c r="M540" s="1305"/>
      <c r="N540" s="1279"/>
      <c r="O540" s="1279"/>
    </row>
    <row r="541" spans="1:15" s="1240" customFormat="1" ht="21">
      <c r="A541" s="4707"/>
      <c r="B541" s="4710"/>
      <c r="C541" s="4720"/>
      <c r="D541" s="4720"/>
      <c r="E541" s="1250" t="s">
        <v>434</v>
      </c>
      <c r="F541" s="1238">
        <f>SUM(F542,F547,F556)</f>
        <v>3043217</v>
      </c>
      <c r="G541" s="1238">
        <f>SUM(G542,G547,G556)</f>
        <v>0</v>
      </c>
      <c r="H541" s="1238">
        <f>SUM(H542,H547,H556)</f>
        <v>2869449</v>
      </c>
      <c r="I541" s="1238">
        <f>SUM(I542,I547,I556)</f>
        <v>173768</v>
      </c>
      <c r="J541" s="1237">
        <f>SUM(J542,J547,J556)</f>
        <v>0</v>
      </c>
      <c r="K541" s="1272"/>
      <c r="L541" s="1254"/>
      <c r="M541" s="1254"/>
      <c r="N541" s="1254"/>
      <c r="O541" s="1254"/>
    </row>
    <row r="542" spans="1:15" s="1240" customFormat="1" ht="15" customHeight="1">
      <c r="A542" s="4707"/>
      <c r="B542" s="4710"/>
      <c r="C542" s="4720"/>
      <c r="D542" s="4720"/>
      <c r="E542" s="1248" t="s">
        <v>433</v>
      </c>
      <c r="F542" s="1247">
        <f>SUM(F543:F546)</f>
        <v>2943130</v>
      </c>
      <c r="G542" s="1247">
        <f>SUM(G543:G546)</f>
        <v>0</v>
      </c>
      <c r="H542" s="1247">
        <f>SUM(H543:H546)</f>
        <v>2775080</v>
      </c>
      <c r="I542" s="1247">
        <f>SUM(I543:I546)</f>
        <v>168050</v>
      </c>
      <c r="J542" s="1246">
        <f>SUM(J543:J546)</f>
        <v>0</v>
      </c>
      <c r="K542" s="1272"/>
      <c r="L542" s="1254"/>
      <c r="M542" s="1254"/>
      <c r="N542" s="1254"/>
      <c r="O542" s="1254"/>
    </row>
    <row r="543" spans="1:15" s="1240" customFormat="1" ht="15" customHeight="1">
      <c r="A543" s="4707"/>
      <c r="B543" s="4710"/>
      <c r="C543" s="4720"/>
      <c r="D543" s="4720"/>
      <c r="E543" s="1249" t="s">
        <v>196</v>
      </c>
      <c r="F543" s="1244">
        <f>SUM(G543:J543)</f>
        <v>290967</v>
      </c>
      <c r="G543" s="1244"/>
      <c r="H543" s="1244">
        <v>290967</v>
      </c>
      <c r="I543" s="1244"/>
      <c r="J543" s="1243"/>
      <c r="K543" s="1255"/>
      <c r="L543" s="1254"/>
    </row>
    <row r="544" spans="1:15" s="1240" customFormat="1" ht="15" customHeight="1">
      <c r="A544" s="4707"/>
      <c r="B544" s="4710"/>
      <c r="C544" s="4720"/>
      <c r="D544" s="4720"/>
      <c r="E544" s="1249" t="s">
        <v>359</v>
      </c>
      <c r="F544" s="1244">
        <f>SUM(G544:J544)</f>
        <v>17618</v>
      </c>
      <c r="G544" s="1244"/>
      <c r="H544" s="1244"/>
      <c r="I544" s="1244">
        <v>17618</v>
      </c>
      <c r="J544" s="1243"/>
      <c r="K544" s="1255"/>
      <c r="L544" s="1254"/>
    </row>
    <row r="545" spans="1:12" s="1240" customFormat="1" ht="15" customHeight="1">
      <c r="A545" s="4707"/>
      <c r="B545" s="4710"/>
      <c r="C545" s="4720"/>
      <c r="D545" s="4720"/>
      <c r="E545" s="1249" t="s">
        <v>183</v>
      </c>
      <c r="F545" s="1244">
        <f>SUM(G545:J545)</f>
        <v>2484113</v>
      </c>
      <c r="G545" s="1244"/>
      <c r="H545" s="1244">
        <v>2484113</v>
      </c>
      <c r="I545" s="1244"/>
      <c r="J545" s="1243"/>
      <c r="K545" s="1255"/>
      <c r="L545" s="1254"/>
    </row>
    <row r="546" spans="1:12" s="1240" customFormat="1" ht="15" customHeight="1">
      <c r="A546" s="4707"/>
      <c r="B546" s="4710"/>
      <c r="C546" s="4720"/>
      <c r="D546" s="4720"/>
      <c r="E546" s="1249" t="s">
        <v>185</v>
      </c>
      <c r="F546" s="1244">
        <f>SUM(G546:J546)</f>
        <v>150432</v>
      </c>
      <c r="G546" s="1244"/>
      <c r="H546" s="1244"/>
      <c r="I546" s="1244">
        <v>150432</v>
      </c>
      <c r="J546" s="1243"/>
      <c r="K546" s="1255"/>
      <c r="L546" s="1254"/>
    </row>
    <row r="547" spans="1:12" s="1240" customFormat="1" ht="22.5">
      <c r="A547" s="4707"/>
      <c r="B547" s="4710"/>
      <c r="C547" s="4720"/>
      <c r="D547" s="4720"/>
      <c r="E547" s="1248" t="s">
        <v>432</v>
      </c>
      <c r="F547" s="1247">
        <f>SUM(F548:F555)</f>
        <v>24100</v>
      </c>
      <c r="G547" s="1247">
        <f>SUM(G548:G555)</f>
        <v>0</v>
      </c>
      <c r="H547" s="1247">
        <f>SUM(H548:H555)</f>
        <v>22722</v>
      </c>
      <c r="I547" s="1247">
        <f>SUM(I548:I555)</f>
        <v>1378</v>
      </c>
      <c r="J547" s="1246">
        <f>SUM(J548:J555)</f>
        <v>0</v>
      </c>
      <c r="K547" s="1255"/>
      <c r="L547" s="1254"/>
    </row>
    <row r="548" spans="1:12" s="1240" customFormat="1" ht="15" customHeight="1">
      <c r="A548" s="4707"/>
      <c r="B548" s="4710"/>
      <c r="C548" s="4720"/>
      <c r="D548" s="4720"/>
      <c r="E548" s="1249" t="s">
        <v>462</v>
      </c>
      <c r="F548" s="1244">
        <f t="shared" ref="F548:F555" si="24">SUM(G548:J548)</f>
        <v>18991</v>
      </c>
      <c r="G548" s="1244"/>
      <c r="H548" s="1244">
        <v>18991</v>
      </c>
      <c r="I548" s="1244"/>
      <c r="J548" s="1243"/>
      <c r="K548" s="1255"/>
      <c r="L548" s="1254"/>
    </row>
    <row r="549" spans="1:12" s="1240" customFormat="1" ht="15" customHeight="1">
      <c r="A549" s="4707"/>
      <c r="B549" s="4710"/>
      <c r="C549" s="4720"/>
      <c r="D549" s="4720"/>
      <c r="E549" s="1249" t="s">
        <v>461</v>
      </c>
      <c r="F549" s="1244">
        <f t="shared" si="24"/>
        <v>1151</v>
      </c>
      <c r="G549" s="1244"/>
      <c r="H549" s="1244"/>
      <c r="I549" s="1244">
        <v>1151</v>
      </c>
      <c r="J549" s="1243"/>
      <c r="K549" s="1255"/>
      <c r="L549" s="1254"/>
    </row>
    <row r="550" spans="1:12" s="1240" customFormat="1" ht="15" customHeight="1">
      <c r="A550" s="4707"/>
      <c r="B550" s="4710"/>
      <c r="C550" s="4720"/>
      <c r="D550" s="4720"/>
      <c r="E550" s="1249" t="s">
        <v>460</v>
      </c>
      <c r="F550" s="1244">
        <f t="shared" si="24"/>
        <v>3265</v>
      </c>
      <c r="G550" s="1244"/>
      <c r="H550" s="1244">
        <v>3265</v>
      </c>
      <c r="I550" s="1244"/>
      <c r="J550" s="1243"/>
      <c r="K550" s="1255"/>
      <c r="L550" s="1254"/>
    </row>
    <row r="551" spans="1:12" s="1240" customFormat="1" ht="15" customHeight="1">
      <c r="A551" s="4707"/>
      <c r="B551" s="4710"/>
      <c r="C551" s="4720"/>
      <c r="D551" s="4720"/>
      <c r="E551" s="1249" t="s">
        <v>459</v>
      </c>
      <c r="F551" s="1244">
        <f t="shared" si="24"/>
        <v>198</v>
      </c>
      <c r="G551" s="1244"/>
      <c r="H551" s="1244"/>
      <c r="I551" s="1244">
        <v>198</v>
      </c>
      <c r="J551" s="1243"/>
      <c r="K551" s="1255"/>
      <c r="L551" s="1254"/>
    </row>
    <row r="552" spans="1:12" s="1240" customFormat="1" ht="15" customHeight="1">
      <c r="A552" s="4707"/>
      <c r="B552" s="4710"/>
      <c r="C552" s="4720"/>
      <c r="D552" s="4720"/>
      <c r="E552" s="1249" t="s">
        <v>458</v>
      </c>
      <c r="F552" s="1244">
        <f t="shared" si="24"/>
        <v>466</v>
      </c>
      <c r="G552" s="1244"/>
      <c r="H552" s="1244">
        <v>466</v>
      </c>
      <c r="I552" s="1244"/>
      <c r="J552" s="1243"/>
      <c r="K552" s="1255"/>
      <c r="L552" s="1254"/>
    </row>
    <row r="553" spans="1:12" s="1240" customFormat="1" ht="15" customHeight="1">
      <c r="A553" s="4707"/>
      <c r="B553" s="4710"/>
      <c r="C553" s="4720"/>
      <c r="D553" s="4720"/>
      <c r="E553" s="1249" t="s">
        <v>457</v>
      </c>
      <c r="F553" s="1244">
        <f t="shared" si="24"/>
        <v>29</v>
      </c>
      <c r="G553" s="1244"/>
      <c r="H553" s="1244"/>
      <c r="I553" s="1244">
        <v>29</v>
      </c>
      <c r="J553" s="1243"/>
      <c r="K553" s="1255"/>
      <c r="L553" s="1254"/>
    </row>
    <row r="554" spans="1:12" s="1240" customFormat="1" ht="15" hidden="1" customHeight="1">
      <c r="A554" s="4707"/>
      <c r="B554" s="4710"/>
      <c r="C554" s="4720"/>
      <c r="D554" s="4720"/>
      <c r="E554" s="1249" t="s">
        <v>456</v>
      </c>
      <c r="F554" s="1244">
        <f t="shared" si="24"/>
        <v>0</v>
      </c>
      <c r="G554" s="1244"/>
      <c r="H554" s="1244"/>
      <c r="I554" s="1244"/>
      <c r="J554" s="1243"/>
      <c r="K554" s="1255"/>
      <c r="L554" s="1254"/>
    </row>
    <row r="555" spans="1:12" s="1240" customFormat="1" ht="15" hidden="1" customHeight="1">
      <c r="A555" s="4707"/>
      <c r="B555" s="4710"/>
      <c r="C555" s="4720"/>
      <c r="D555" s="4720"/>
      <c r="E555" s="1249" t="s">
        <v>455</v>
      </c>
      <c r="F555" s="1244">
        <f t="shared" si="24"/>
        <v>0</v>
      </c>
      <c r="G555" s="1244"/>
      <c r="H555" s="1244"/>
      <c r="I555" s="1244"/>
      <c r="J555" s="1243"/>
      <c r="K555" s="1255"/>
      <c r="L555" s="1254"/>
    </row>
    <row r="556" spans="1:12" s="1240" customFormat="1" ht="22.5">
      <c r="A556" s="4707"/>
      <c r="B556" s="4710"/>
      <c r="C556" s="4720"/>
      <c r="D556" s="4720"/>
      <c r="E556" s="1248" t="s">
        <v>427</v>
      </c>
      <c r="F556" s="1247">
        <f>SUM(F557:F566)</f>
        <v>75987</v>
      </c>
      <c r="G556" s="1247">
        <f>SUM(G557:G566)</f>
        <v>0</v>
      </c>
      <c r="H556" s="1247">
        <f>SUM(H557:H566)</f>
        <v>71647</v>
      </c>
      <c r="I556" s="1247">
        <f>SUM(I557:I566)</f>
        <v>4340</v>
      </c>
      <c r="J556" s="1246">
        <f>SUM(J557:J566)</f>
        <v>0</v>
      </c>
      <c r="K556" s="1255"/>
      <c r="L556" s="1254"/>
    </row>
    <row r="557" spans="1:12" s="1240" customFormat="1" ht="15" customHeight="1">
      <c r="A557" s="4707"/>
      <c r="B557" s="4710"/>
      <c r="C557" s="4720"/>
      <c r="D557" s="4720"/>
      <c r="E557" s="1249" t="s">
        <v>450</v>
      </c>
      <c r="F557" s="1244">
        <f t="shared" ref="F557:F566" si="25">SUM(G557:J557)</f>
        <v>5645</v>
      </c>
      <c r="G557" s="1244"/>
      <c r="H557" s="1244">
        <v>5645</v>
      </c>
      <c r="I557" s="1244"/>
      <c r="J557" s="1243"/>
      <c r="K557" s="1255"/>
      <c r="L557" s="1254"/>
    </row>
    <row r="558" spans="1:12" s="1240" customFormat="1" ht="15" customHeight="1">
      <c r="A558" s="4707"/>
      <c r="B558" s="4710"/>
      <c r="C558" s="4720"/>
      <c r="D558" s="4720"/>
      <c r="E558" s="1249" t="s">
        <v>449</v>
      </c>
      <c r="F558" s="1244">
        <f t="shared" si="25"/>
        <v>342</v>
      </c>
      <c r="G558" s="1244"/>
      <c r="H558" s="1244"/>
      <c r="I558" s="1244">
        <v>342</v>
      </c>
      <c r="J558" s="1243"/>
      <c r="K558" s="1255"/>
      <c r="L558" s="1254"/>
    </row>
    <row r="559" spans="1:12" s="1240" customFormat="1" ht="15" customHeight="1">
      <c r="A559" s="4707"/>
      <c r="B559" s="4710"/>
      <c r="C559" s="4720"/>
      <c r="D559" s="4720"/>
      <c r="E559" s="1249" t="s">
        <v>446</v>
      </c>
      <c r="F559" s="1244">
        <f t="shared" si="25"/>
        <v>65060</v>
      </c>
      <c r="G559" s="1244"/>
      <c r="H559" s="1244">
        <v>65060</v>
      </c>
      <c r="I559" s="1244"/>
      <c r="J559" s="1243"/>
      <c r="K559" s="1255"/>
      <c r="L559" s="1254"/>
    </row>
    <row r="560" spans="1:12" s="1240" customFormat="1" ht="15" customHeight="1">
      <c r="A560" s="4707"/>
      <c r="B560" s="4710"/>
      <c r="C560" s="4720"/>
      <c r="D560" s="4720"/>
      <c r="E560" s="1249" t="s">
        <v>445</v>
      </c>
      <c r="F560" s="1244">
        <f t="shared" si="25"/>
        <v>3940</v>
      </c>
      <c r="G560" s="1244"/>
      <c r="H560" s="1244"/>
      <c r="I560" s="1244">
        <v>3940</v>
      </c>
      <c r="J560" s="1243"/>
      <c r="K560" s="1255"/>
      <c r="L560" s="1254"/>
    </row>
    <row r="561" spans="1:12" s="1240" customFormat="1" ht="15" customHeight="1">
      <c r="A561" s="4707"/>
      <c r="B561" s="4710"/>
      <c r="C561" s="4720"/>
      <c r="D561" s="4720"/>
      <c r="E561" s="1249" t="s">
        <v>467</v>
      </c>
      <c r="F561" s="1244">
        <f t="shared" si="25"/>
        <v>942</v>
      </c>
      <c r="G561" s="1244"/>
      <c r="H561" s="1244">
        <v>942</v>
      </c>
      <c r="I561" s="1244"/>
      <c r="J561" s="1243"/>
      <c r="K561" s="1255"/>
      <c r="L561" s="1254"/>
    </row>
    <row r="562" spans="1:12" s="1240" customFormat="1" ht="15" customHeight="1">
      <c r="A562" s="4707"/>
      <c r="B562" s="4710"/>
      <c r="C562" s="4720"/>
      <c r="D562" s="4720"/>
      <c r="E562" s="1249" t="s">
        <v>466</v>
      </c>
      <c r="F562" s="1244">
        <f t="shared" si="25"/>
        <v>58</v>
      </c>
      <c r="G562" s="1244"/>
      <c r="H562" s="1244"/>
      <c r="I562" s="1244">
        <v>58</v>
      </c>
      <c r="J562" s="1243"/>
      <c r="K562" s="1255"/>
      <c r="L562" s="1254"/>
    </row>
    <row r="563" spans="1:12" s="1240" customFormat="1" ht="15" hidden="1" customHeight="1">
      <c r="A563" s="4707"/>
      <c r="B563" s="4710"/>
      <c r="C563" s="4720"/>
      <c r="D563" s="4720"/>
      <c r="E563" s="1249" t="s">
        <v>486</v>
      </c>
      <c r="F563" s="1244">
        <f t="shared" si="25"/>
        <v>0</v>
      </c>
      <c r="G563" s="1244"/>
      <c r="H563" s="1244"/>
      <c r="I563" s="1244"/>
      <c r="J563" s="1243"/>
      <c r="K563" s="1255"/>
      <c r="L563" s="1254"/>
    </row>
    <row r="564" spans="1:12" s="1240" customFormat="1" ht="15" hidden="1" customHeight="1">
      <c r="A564" s="4707"/>
      <c r="B564" s="4710"/>
      <c r="C564" s="4720"/>
      <c r="D564" s="4720"/>
      <c r="E564" s="1249" t="s">
        <v>485</v>
      </c>
      <c r="F564" s="1244">
        <f t="shared" si="25"/>
        <v>0</v>
      </c>
      <c r="G564" s="1244"/>
      <c r="H564" s="1244"/>
      <c r="I564" s="1244"/>
      <c r="J564" s="1243"/>
      <c r="K564" s="1255"/>
      <c r="L564" s="1254"/>
    </row>
    <row r="565" spans="1:12" s="1240" customFormat="1" ht="15" hidden="1" customHeight="1">
      <c r="A565" s="4707"/>
      <c r="B565" s="4710"/>
      <c r="C565" s="4720"/>
      <c r="D565" s="4720"/>
      <c r="E565" s="1249" t="s">
        <v>346</v>
      </c>
      <c r="F565" s="1244">
        <f t="shared" si="25"/>
        <v>0</v>
      </c>
      <c r="G565" s="1244"/>
      <c r="H565" s="1244"/>
      <c r="I565" s="1244"/>
      <c r="J565" s="1243"/>
      <c r="K565" s="1255"/>
      <c r="L565" s="1254"/>
    </row>
    <row r="566" spans="1:12" s="1240" customFormat="1" ht="15" hidden="1" customHeight="1">
      <c r="A566" s="4707"/>
      <c r="B566" s="4710"/>
      <c r="C566" s="4720"/>
      <c r="D566" s="4720"/>
      <c r="E566" s="1249" t="s">
        <v>301</v>
      </c>
      <c r="F566" s="1244">
        <f t="shared" si="25"/>
        <v>0</v>
      </c>
      <c r="G566" s="1244"/>
      <c r="H566" s="1244"/>
      <c r="I566" s="1244"/>
      <c r="J566" s="1243"/>
      <c r="K566" s="1255"/>
      <c r="L566" s="1254"/>
    </row>
    <row r="567" spans="1:12" s="1240" customFormat="1" ht="15" customHeight="1">
      <c r="A567" s="4707"/>
      <c r="B567" s="4710"/>
      <c r="C567" s="4720"/>
      <c r="D567" s="4720"/>
      <c r="E567" s="1239" t="s">
        <v>423</v>
      </c>
      <c r="F567" s="1238">
        <f>SUM(F568:F573)</f>
        <v>885312</v>
      </c>
      <c r="G567" s="1238">
        <f>SUM(G568:G573)</f>
        <v>0</v>
      </c>
      <c r="H567" s="1238">
        <f>SUM(H568:H573)</f>
        <v>834760</v>
      </c>
      <c r="I567" s="1238">
        <f>SUM(I568:I573)</f>
        <v>50552</v>
      </c>
      <c r="J567" s="1237">
        <f>SUM(J568:J573)</f>
        <v>0</v>
      </c>
      <c r="K567" s="1255"/>
      <c r="L567" s="1254"/>
    </row>
    <row r="568" spans="1:12" s="1240" customFormat="1" ht="15" customHeight="1">
      <c r="A568" s="4707"/>
      <c r="B568" s="4710"/>
      <c r="C568" s="4720"/>
      <c r="D568" s="4720"/>
      <c r="E568" s="1249" t="s">
        <v>506</v>
      </c>
      <c r="F568" s="1244">
        <f t="shared" ref="F568:F573" si="26">SUM(G568:J568)</f>
        <v>55651</v>
      </c>
      <c r="G568" s="1244"/>
      <c r="H568" s="1244">
        <v>55651</v>
      </c>
      <c r="I568" s="1244"/>
      <c r="J568" s="1243"/>
      <c r="K568" s="1255"/>
      <c r="L568" s="1254"/>
    </row>
    <row r="569" spans="1:12" s="1240" customFormat="1" ht="15" customHeight="1">
      <c r="A569" s="4707"/>
      <c r="B569" s="4710"/>
      <c r="C569" s="4720"/>
      <c r="D569" s="4720"/>
      <c r="E569" s="1249" t="s">
        <v>505</v>
      </c>
      <c r="F569" s="1244">
        <f t="shared" si="26"/>
        <v>3371</v>
      </c>
      <c r="G569" s="1244"/>
      <c r="H569" s="1244"/>
      <c r="I569" s="1244">
        <v>3371</v>
      </c>
      <c r="J569" s="1243"/>
      <c r="K569" s="1255"/>
      <c r="L569" s="1254"/>
    </row>
    <row r="570" spans="1:12" s="1240" customFormat="1" ht="15" customHeight="1">
      <c r="A570" s="4707"/>
      <c r="B570" s="4710"/>
      <c r="C570" s="4720"/>
      <c r="D570" s="4720"/>
      <c r="E570" s="1249" t="s">
        <v>566</v>
      </c>
      <c r="F570" s="1244">
        <f t="shared" si="26"/>
        <v>55651</v>
      </c>
      <c r="G570" s="1244"/>
      <c r="H570" s="1244">
        <v>55651</v>
      </c>
      <c r="I570" s="1244"/>
      <c r="J570" s="1243"/>
      <c r="K570" s="1255"/>
      <c r="L570" s="1254"/>
    </row>
    <row r="571" spans="1:12" s="1240" customFormat="1" ht="15" customHeight="1">
      <c r="A571" s="4707"/>
      <c r="B571" s="4710"/>
      <c r="C571" s="4720"/>
      <c r="D571" s="4720"/>
      <c r="E571" s="1249" t="s">
        <v>540</v>
      </c>
      <c r="F571" s="1244">
        <f t="shared" si="26"/>
        <v>3371</v>
      </c>
      <c r="G571" s="1244"/>
      <c r="H571" s="1244"/>
      <c r="I571" s="1244">
        <v>3371</v>
      </c>
      <c r="J571" s="1243"/>
      <c r="K571" s="1255"/>
      <c r="L571" s="1254"/>
    </row>
    <row r="572" spans="1:12" s="1240" customFormat="1" ht="15" customHeight="1">
      <c r="A572" s="4707"/>
      <c r="B572" s="4710"/>
      <c r="C572" s="4720"/>
      <c r="D572" s="4720"/>
      <c r="E572" s="1249" t="s">
        <v>123</v>
      </c>
      <c r="F572" s="1244">
        <f t="shared" si="26"/>
        <v>723458</v>
      </c>
      <c r="G572" s="1244"/>
      <c r="H572" s="1244">
        <v>723458</v>
      </c>
      <c r="I572" s="1244"/>
      <c r="J572" s="1243"/>
      <c r="K572" s="1255"/>
      <c r="L572" s="1254"/>
    </row>
    <row r="573" spans="1:12" s="1240" customFormat="1" ht="15" customHeight="1">
      <c r="A573" s="4708"/>
      <c r="B573" s="4711"/>
      <c r="C573" s="4719"/>
      <c r="D573" s="4719"/>
      <c r="E573" s="1249" t="s">
        <v>186</v>
      </c>
      <c r="F573" s="1244">
        <f t="shared" si="26"/>
        <v>43810</v>
      </c>
      <c r="G573" s="1244"/>
      <c r="H573" s="1244"/>
      <c r="I573" s="1244">
        <v>43810</v>
      </c>
      <c r="J573" s="1243"/>
      <c r="K573" s="1255"/>
      <c r="L573" s="1254"/>
    </row>
    <row r="574" spans="1:12" s="1240" customFormat="1" ht="22.5">
      <c r="A574" s="4706" t="s">
        <v>565</v>
      </c>
      <c r="B574" s="4709" t="s">
        <v>564</v>
      </c>
      <c r="C574" s="4718" t="s">
        <v>483</v>
      </c>
      <c r="D574" s="4718" t="s">
        <v>482</v>
      </c>
      <c r="E574" s="1253" t="s">
        <v>435</v>
      </c>
      <c r="F574" s="1252">
        <f>SUM(F575,F595)</f>
        <v>300000</v>
      </c>
      <c r="G574" s="1252">
        <f>SUM(G575,G595)</f>
        <v>30000</v>
      </c>
      <c r="H574" s="1252">
        <f>SUM(H575,H595)</f>
        <v>252840</v>
      </c>
      <c r="I574" s="1252">
        <f>SUM(I575,I595)</f>
        <v>17160</v>
      </c>
      <c r="J574" s="1251">
        <f>SUM(J575,J595)</f>
        <v>0</v>
      </c>
      <c r="K574" s="1242"/>
      <c r="L574" s="1241"/>
    </row>
    <row r="575" spans="1:12" s="1240" customFormat="1" ht="21">
      <c r="A575" s="4707"/>
      <c r="B575" s="4710"/>
      <c r="C575" s="4720"/>
      <c r="D575" s="4720"/>
      <c r="E575" s="1250" t="s">
        <v>434</v>
      </c>
      <c r="F575" s="1238">
        <f>SUM(F576,F579,F586)</f>
        <v>300000</v>
      </c>
      <c r="G575" s="1238">
        <f>SUM(G576,G579,G586)</f>
        <v>30000</v>
      </c>
      <c r="H575" s="1238">
        <f>SUM(H576,H579,H586)</f>
        <v>252840</v>
      </c>
      <c r="I575" s="1238">
        <f>SUM(I576,I579,I586)</f>
        <v>17160</v>
      </c>
      <c r="J575" s="1237">
        <f>SUM(J576,J579,J586)</f>
        <v>0</v>
      </c>
      <c r="K575" s="1242"/>
      <c r="L575" s="1241"/>
    </row>
    <row r="576" spans="1:12" s="1240" customFormat="1" ht="15" hidden="1" customHeight="1">
      <c r="A576" s="4707"/>
      <c r="B576" s="4710"/>
      <c r="C576" s="4720"/>
      <c r="D576" s="4720"/>
      <c r="E576" s="1248" t="s">
        <v>433</v>
      </c>
      <c r="F576" s="1247">
        <f>SUM(F577:F578)</f>
        <v>0</v>
      </c>
      <c r="G576" s="1247">
        <f>SUM(G577:G578)</f>
        <v>0</v>
      </c>
      <c r="H576" s="1247">
        <f>SUM(H577:H578)</f>
        <v>0</v>
      </c>
      <c r="I576" s="1247">
        <f>SUM(I577:I578)</f>
        <v>0</v>
      </c>
      <c r="J576" s="1246">
        <f>SUM(J577:J578)</f>
        <v>0</v>
      </c>
      <c r="K576" s="1242"/>
      <c r="L576" s="1241"/>
    </row>
    <row r="577" spans="1:12" s="1240" customFormat="1" ht="15" hidden="1" customHeight="1">
      <c r="A577" s="4707"/>
      <c r="B577" s="4710"/>
      <c r="C577" s="4720"/>
      <c r="D577" s="4720"/>
      <c r="E577" s="1249" t="s">
        <v>196</v>
      </c>
      <c r="F577" s="1244">
        <f>SUM(G577:J577)</f>
        <v>0</v>
      </c>
      <c r="G577" s="1244"/>
      <c r="H577" s="1244"/>
      <c r="I577" s="1244"/>
      <c r="J577" s="1243"/>
      <c r="K577" s="1255"/>
      <c r="L577" s="1254"/>
    </row>
    <row r="578" spans="1:12" s="1240" customFormat="1" ht="15" hidden="1" customHeight="1">
      <c r="A578" s="4707"/>
      <c r="B578" s="4710"/>
      <c r="C578" s="4720"/>
      <c r="D578" s="4720"/>
      <c r="E578" s="1249" t="s">
        <v>359</v>
      </c>
      <c r="F578" s="1244">
        <f>SUM(G578:J578)</f>
        <v>0</v>
      </c>
      <c r="G578" s="1244"/>
      <c r="H578" s="1244"/>
      <c r="I578" s="1244"/>
      <c r="J578" s="1243"/>
      <c r="K578" s="1255"/>
      <c r="L578" s="1254"/>
    </row>
    <row r="579" spans="1:12" s="1240" customFormat="1" ht="15" hidden="1" customHeight="1">
      <c r="A579" s="4707"/>
      <c r="B579" s="4710"/>
      <c r="C579" s="4720"/>
      <c r="D579" s="4720"/>
      <c r="E579" s="1248" t="s">
        <v>432</v>
      </c>
      <c r="F579" s="1247">
        <f>SUM(F580:F585)</f>
        <v>0</v>
      </c>
      <c r="G579" s="1247">
        <f>SUM(G580:G585)</f>
        <v>0</v>
      </c>
      <c r="H579" s="1247">
        <f>SUM(H580:H585)</f>
        <v>0</v>
      </c>
      <c r="I579" s="1247">
        <f>SUM(I580:I585)</f>
        <v>0</v>
      </c>
      <c r="J579" s="1246">
        <f>SUM(J580:J585)</f>
        <v>0</v>
      </c>
      <c r="K579" s="1242"/>
      <c r="L579" s="1241"/>
    </row>
    <row r="580" spans="1:12" s="1240" customFormat="1" ht="15" hidden="1" customHeight="1">
      <c r="A580" s="4707"/>
      <c r="B580" s="4710"/>
      <c r="C580" s="4720"/>
      <c r="D580" s="4720"/>
      <c r="E580" s="1249" t="s">
        <v>462</v>
      </c>
      <c r="F580" s="1244">
        <f t="shared" ref="F580:F585" si="27">SUM(G580:J580)</f>
        <v>0</v>
      </c>
      <c r="G580" s="1244"/>
      <c r="H580" s="1244"/>
      <c r="I580" s="1244"/>
      <c r="J580" s="1243"/>
      <c r="K580" s="1242"/>
      <c r="L580" s="1241"/>
    </row>
    <row r="581" spans="1:12" s="1240" customFormat="1" ht="15" hidden="1" customHeight="1">
      <c r="A581" s="4707"/>
      <c r="B581" s="4710"/>
      <c r="C581" s="4720"/>
      <c r="D581" s="4720"/>
      <c r="E581" s="1249" t="s">
        <v>461</v>
      </c>
      <c r="F581" s="1244">
        <f t="shared" si="27"/>
        <v>0</v>
      </c>
      <c r="G581" s="1244"/>
      <c r="H581" s="1244"/>
      <c r="I581" s="1244"/>
      <c r="J581" s="1243"/>
      <c r="K581" s="1242"/>
      <c r="L581" s="1241"/>
    </row>
    <row r="582" spans="1:12" s="1240" customFormat="1" ht="15" hidden="1" customHeight="1">
      <c r="A582" s="4707"/>
      <c r="B582" s="4710"/>
      <c r="C582" s="4720"/>
      <c r="D582" s="4720"/>
      <c r="E582" s="1249" t="s">
        <v>460</v>
      </c>
      <c r="F582" s="1244">
        <f t="shared" si="27"/>
        <v>0</v>
      </c>
      <c r="G582" s="1244"/>
      <c r="H582" s="1244"/>
      <c r="I582" s="1244"/>
      <c r="J582" s="1243"/>
      <c r="K582" s="1242"/>
      <c r="L582" s="1241"/>
    </row>
    <row r="583" spans="1:12" s="1240" customFormat="1" ht="15" hidden="1" customHeight="1">
      <c r="A583" s="4707"/>
      <c r="B583" s="4710"/>
      <c r="C583" s="4720"/>
      <c r="D583" s="4720"/>
      <c r="E583" s="1249" t="s">
        <v>459</v>
      </c>
      <c r="F583" s="1244">
        <f t="shared" si="27"/>
        <v>0</v>
      </c>
      <c r="G583" s="1244"/>
      <c r="H583" s="1244"/>
      <c r="I583" s="1244"/>
      <c r="J583" s="1243"/>
      <c r="K583" s="1255"/>
      <c r="L583" s="1254"/>
    </row>
    <row r="584" spans="1:12" s="1240" customFormat="1" ht="15" hidden="1" customHeight="1">
      <c r="A584" s="4707"/>
      <c r="B584" s="4710"/>
      <c r="C584" s="4720"/>
      <c r="D584" s="4720"/>
      <c r="E584" s="1249" t="s">
        <v>458</v>
      </c>
      <c r="F584" s="1244">
        <f t="shared" si="27"/>
        <v>0</v>
      </c>
      <c r="G584" s="1244"/>
      <c r="H584" s="1244"/>
      <c r="I584" s="1244"/>
      <c r="J584" s="1243"/>
      <c r="K584" s="1255"/>
      <c r="L584" s="1254"/>
    </row>
    <row r="585" spans="1:12" s="1240" customFormat="1" ht="15" hidden="1" customHeight="1">
      <c r="A585" s="4707"/>
      <c r="B585" s="4710"/>
      <c r="C585" s="4720"/>
      <c r="D585" s="4720"/>
      <c r="E585" s="1249" t="s">
        <v>457</v>
      </c>
      <c r="F585" s="1244">
        <f t="shared" si="27"/>
        <v>0</v>
      </c>
      <c r="G585" s="1244"/>
      <c r="H585" s="1244"/>
      <c r="I585" s="1244"/>
      <c r="J585" s="1243"/>
      <c r="K585" s="1255"/>
      <c r="L585" s="1254"/>
    </row>
    <row r="586" spans="1:12" s="1240" customFormat="1" ht="22.5">
      <c r="A586" s="4707"/>
      <c r="B586" s="4710"/>
      <c r="C586" s="4720"/>
      <c r="D586" s="4720"/>
      <c r="E586" s="1248" t="s">
        <v>427</v>
      </c>
      <c r="F586" s="1247">
        <f>SUM(F587:F594)</f>
        <v>300000</v>
      </c>
      <c r="G586" s="1247">
        <f>SUM(G587:G594)</f>
        <v>30000</v>
      </c>
      <c r="H586" s="1247">
        <f>SUM(H587:H594)</f>
        <v>252840</v>
      </c>
      <c r="I586" s="1247">
        <f>SUM(I587:I594)</f>
        <v>17160</v>
      </c>
      <c r="J586" s="1246">
        <f>SUM(J587:J594)</f>
        <v>0</v>
      </c>
      <c r="K586" s="1242"/>
      <c r="L586" s="1241"/>
    </row>
    <row r="587" spans="1:12" s="1240" customFormat="1" ht="15" customHeight="1">
      <c r="A587" s="4707"/>
      <c r="B587" s="4710"/>
      <c r="C587" s="4720"/>
      <c r="D587" s="4720"/>
      <c r="E587" s="1249" t="s">
        <v>450</v>
      </c>
      <c r="F587" s="1244">
        <f t="shared" ref="F587:F594" si="28">SUM(G587:J587)</f>
        <v>252840</v>
      </c>
      <c r="G587" s="1244"/>
      <c r="H587" s="1244">
        <v>252840</v>
      </c>
      <c r="I587" s="1244"/>
      <c r="J587" s="1243"/>
      <c r="K587" s="1242"/>
      <c r="L587" s="1241"/>
    </row>
    <row r="588" spans="1:12" s="1240" customFormat="1" ht="15" customHeight="1">
      <c r="A588" s="4707"/>
      <c r="B588" s="4710"/>
      <c r="C588" s="4720"/>
      <c r="D588" s="4720"/>
      <c r="E588" s="1249" t="s">
        <v>449</v>
      </c>
      <c r="F588" s="1244">
        <f t="shared" si="28"/>
        <v>47160</v>
      </c>
      <c r="G588" s="1244">
        <v>30000</v>
      </c>
      <c r="H588" s="1244"/>
      <c r="I588" s="1244">
        <v>17160</v>
      </c>
      <c r="J588" s="1243"/>
      <c r="K588" s="1242"/>
      <c r="L588" s="1241"/>
    </row>
    <row r="589" spans="1:12" s="1240" customFormat="1" ht="15" hidden="1" customHeight="1">
      <c r="A589" s="4707"/>
      <c r="B589" s="4710"/>
      <c r="C589" s="4720"/>
      <c r="D589" s="4720"/>
      <c r="E589" s="1249" t="s">
        <v>446</v>
      </c>
      <c r="F589" s="1244">
        <f t="shared" si="28"/>
        <v>0</v>
      </c>
      <c r="G589" s="1244"/>
      <c r="H589" s="1244"/>
      <c r="I589" s="1244"/>
      <c r="J589" s="1243"/>
      <c r="K589" s="1242"/>
      <c r="L589" s="1241"/>
    </row>
    <row r="590" spans="1:12" s="1240" customFormat="1" ht="15" hidden="1" customHeight="1">
      <c r="A590" s="4707"/>
      <c r="B590" s="4710"/>
      <c r="C590" s="4720"/>
      <c r="D590" s="4720"/>
      <c r="E590" s="1249" t="s">
        <v>445</v>
      </c>
      <c r="F590" s="1244">
        <f t="shared" si="28"/>
        <v>0</v>
      </c>
      <c r="G590" s="1244"/>
      <c r="H590" s="1244"/>
      <c r="I590" s="1244"/>
      <c r="J590" s="1243"/>
      <c r="K590" s="1255"/>
      <c r="L590" s="1254"/>
    </row>
    <row r="591" spans="1:12" s="1240" customFormat="1" ht="15" hidden="1" customHeight="1">
      <c r="A591" s="4707"/>
      <c r="B591" s="4710"/>
      <c r="C591" s="4720"/>
      <c r="D591" s="4720"/>
      <c r="E591" s="1249" t="s">
        <v>467</v>
      </c>
      <c r="F591" s="1244">
        <f t="shared" si="28"/>
        <v>0</v>
      </c>
      <c r="G591" s="1244"/>
      <c r="H591" s="1244"/>
      <c r="I591" s="1244"/>
      <c r="J591" s="1243"/>
      <c r="K591" s="1255"/>
      <c r="L591" s="1254"/>
    </row>
    <row r="592" spans="1:12" s="1240" customFormat="1" ht="15" hidden="1" customHeight="1">
      <c r="A592" s="4707"/>
      <c r="B592" s="4710"/>
      <c r="C592" s="4720"/>
      <c r="D592" s="4720"/>
      <c r="E592" s="1249" t="s">
        <v>466</v>
      </c>
      <c r="F592" s="1244">
        <f t="shared" si="28"/>
        <v>0</v>
      </c>
      <c r="G592" s="1244"/>
      <c r="H592" s="1244"/>
      <c r="I592" s="1244"/>
      <c r="J592" s="1243"/>
      <c r="K592" s="1255"/>
      <c r="L592" s="1254"/>
    </row>
    <row r="593" spans="1:12" s="1240" customFormat="1" ht="15" hidden="1" customHeight="1">
      <c r="A593" s="4707"/>
      <c r="B593" s="4710"/>
      <c r="C593" s="4720"/>
      <c r="D593" s="4720"/>
      <c r="E593" s="1249" t="s">
        <v>486</v>
      </c>
      <c r="F593" s="1244">
        <f t="shared" si="28"/>
        <v>0</v>
      </c>
      <c r="G593" s="1244"/>
      <c r="H593" s="1244"/>
      <c r="I593" s="1244"/>
      <c r="J593" s="1243"/>
      <c r="K593" s="1255"/>
      <c r="L593" s="1254"/>
    </row>
    <row r="594" spans="1:12" s="1240" customFormat="1" ht="15" hidden="1" customHeight="1">
      <c r="A594" s="4707"/>
      <c r="B594" s="4710"/>
      <c r="C594" s="4720"/>
      <c r="D594" s="4720"/>
      <c r="E594" s="1249" t="s">
        <v>485</v>
      </c>
      <c r="F594" s="1244">
        <f t="shared" si="28"/>
        <v>0</v>
      </c>
      <c r="G594" s="1244"/>
      <c r="H594" s="1244"/>
      <c r="I594" s="1244"/>
      <c r="J594" s="1243"/>
      <c r="K594" s="1255"/>
      <c r="L594" s="1254"/>
    </row>
    <row r="595" spans="1:12" s="1240" customFormat="1" ht="15" customHeight="1">
      <c r="A595" s="4708"/>
      <c r="B595" s="4711"/>
      <c r="C595" s="4719"/>
      <c r="D595" s="4719"/>
      <c r="E595" s="1239" t="s">
        <v>423</v>
      </c>
      <c r="F595" s="1238">
        <f>SUM(F596:F597)</f>
        <v>0</v>
      </c>
      <c r="G595" s="1238">
        <f>SUM(G596:G597)</f>
        <v>0</v>
      </c>
      <c r="H595" s="1238">
        <f>SUM(H596:H597)</f>
        <v>0</v>
      </c>
      <c r="I595" s="1238">
        <f>SUM(I596:I597)</f>
        <v>0</v>
      </c>
      <c r="J595" s="1237">
        <f>SUM(J596:J597)</f>
        <v>0</v>
      </c>
      <c r="K595" s="1255"/>
      <c r="L595" s="1254"/>
    </row>
    <row r="596" spans="1:12" s="1240" customFormat="1" ht="15" hidden="1" customHeight="1">
      <c r="A596" s="1309"/>
      <c r="B596" s="1308"/>
      <c r="C596" s="1307"/>
      <c r="D596" s="1307"/>
      <c r="E596" s="1236"/>
      <c r="F596" s="1230">
        <f>SUM(G596:J596)</f>
        <v>0</v>
      </c>
      <c r="G596" s="1230"/>
      <c r="H596" s="1230"/>
      <c r="I596" s="1230"/>
      <c r="J596" s="1229"/>
      <c r="K596" s="1255"/>
      <c r="L596" s="1254"/>
    </row>
    <row r="597" spans="1:12" s="1240" customFormat="1" ht="15" hidden="1" customHeight="1">
      <c r="A597" s="1300"/>
      <c r="B597" s="1299"/>
      <c r="C597" s="1297"/>
      <c r="D597" s="1297"/>
      <c r="E597" s="1236"/>
      <c r="F597" s="1230">
        <f>SUM(G597:J597)</f>
        <v>0</v>
      </c>
      <c r="G597" s="1230"/>
      <c r="H597" s="1230"/>
      <c r="I597" s="1230"/>
      <c r="J597" s="1229"/>
      <c r="K597" s="1255"/>
      <c r="L597" s="1254"/>
    </row>
    <row r="598" spans="1:12" s="1240" customFormat="1" ht="22.5">
      <c r="A598" s="4706" t="s">
        <v>563</v>
      </c>
      <c r="B598" s="4709" t="s">
        <v>562</v>
      </c>
      <c r="C598" s="4718" t="s">
        <v>483</v>
      </c>
      <c r="D598" s="4718" t="s">
        <v>482</v>
      </c>
      <c r="E598" s="1253" t="s">
        <v>435</v>
      </c>
      <c r="F598" s="1252">
        <f>SUM(F599,F633)</f>
        <v>730000</v>
      </c>
      <c r="G598" s="1252">
        <f>SUM(G599,G633)</f>
        <v>0</v>
      </c>
      <c r="H598" s="1252">
        <f>SUM(H599,H633)</f>
        <v>620500</v>
      </c>
      <c r="I598" s="1252">
        <f>SUM(I599,I633)</f>
        <v>109500</v>
      </c>
      <c r="J598" s="1251">
        <f>SUM(J599,J633)</f>
        <v>0</v>
      </c>
      <c r="K598" s="1255"/>
      <c r="L598" s="1254"/>
    </row>
    <row r="599" spans="1:12" s="1240" customFormat="1" ht="21">
      <c r="A599" s="4707"/>
      <c r="B599" s="4710"/>
      <c r="C599" s="4720"/>
      <c r="D599" s="4720"/>
      <c r="E599" s="1250" t="s">
        <v>434</v>
      </c>
      <c r="F599" s="1238">
        <f>SUM(F600,F611)</f>
        <v>730000</v>
      </c>
      <c r="G599" s="1238">
        <f>SUM(G600,G611)</f>
        <v>0</v>
      </c>
      <c r="H599" s="1238">
        <f>SUM(H600,H611)</f>
        <v>620500</v>
      </c>
      <c r="I599" s="1238">
        <f>SUM(I600,I611)</f>
        <v>109500</v>
      </c>
      <c r="J599" s="1237">
        <f>SUM(J600,J611)</f>
        <v>0</v>
      </c>
      <c r="K599" s="1255"/>
      <c r="L599" s="1254"/>
    </row>
    <row r="600" spans="1:12" s="1240" customFormat="1" ht="22.5">
      <c r="A600" s="4707"/>
      <c r="B600" s="4710"/>
      <c r="C600" s="4720"/>
      <c r="D600" s="4720"/>
      <c r="E600" s="1248" t="s">
        <v>432</v>
      </c>
      <c r="F600" s="1247">
        <f>SUM(F601:F610)</f>
        <v>657477</v>
      </c>
      <c r="G600" s="1247">
        <f>SUM(G601:G610)</f>
        <v>0</v>
      </c>
      <c r="H600" s="1247">
        <f>SUM(H601:H610)</f>
        <v>558855</v>
      </c>
      <c r="I600" s="1247">
        <f>SUM(I601:I610)</f>
        <v>98622</v>
      </c>
      <c r="J600" s="1246">
        <f>SUM(J601:J610)</f>
        <v>0</v>
      </c>
      <c r="K600" s="1255"/>
      <c r="L600" s="1254"/>
    </row>
    <row r="601" spans="1:12" s="1240" customFormat="1" ht="15" customHeight="1">
      <c r="A601" s="4707"/>
      <c r="B601" s="4710"/>
      <c r="C601" s="4720"/>
      <c r="D601" s="4720"/>
      <c r="E601" s="1249" t="s">
        <v>479</v>
      </c>
      <c r="F601" s="1244">
        <f t="shared" ref="F601:F610" si="29">SUM(G601:J601)</f>
        <v>379080</v>
      </c>
      <c r="G601" s="1244"/>
      <c r="H601" s="1244">
        <v>379080</v>
      </c>
      <c r="I601" s="1244"/>
      <c r="J601" s="1243"/>
      <c r="K601" s="1255"/>
      <c r="L601" s="1254"/>
    </row>
    <row r="602" spans="1:12" s="1240" customFormat="1" ht="15" customHeight="1">
      <c r="A602" s="4707"/>
      <c r="B602" s="4710"/>
      <c r="C602" s="4720"/>
      <c r="D602" s="4720"/>
      <c r="E602" s="1249" t="s">
        <v>461</v>
      </c>
      <c r="F602" s="1244">
        <f t="shared" si="29"/>
        <v>66897</v>
      </c>
      <c r="G602" s="1244"/>
      <c r="H602" s="1244"/>
      <c r="I602" s="1244">
        <v>66897</v>
      </c>
      <c r="J602" s="1243"/>
      <c r="K602" s="1255"/>
      <c r="L602" s="1254"/>
    </row>
    <row r="603" spans="1:12" s="1240" customFormat="1" ht="15" customHeight="1">
      <c r="A603" s="4707"/>
      <c r="B603" s="4710"/>
      <c r="C603" s="4720"/>
      <c r="D603" s="4720"/>
      <c r="E603" s="1249" t="s">
        <v>536</v>
      </c>
      <c r="F603" s="1244">
        <f t="shared" si="29"/>
        <v>84745</v>
      </c>
      <c r="G603" s="1244"/>
      <c r="H603" s="1244">
        <v>84745</v>
      </c>
      <c r="I603" s="1244"/>
      <c r="J603" s="1243"/>
      <c r="K603" s="1255"/>
      <c r="L603" s="1254"/>
    </row>
    <row r="604" spans="1:12" s="1240" customFormat="1" ht="15" customHeight="1">
      <c r="A604" s="4707"/>
      <c r="B604" s="4710"/>
      <c r="C604" s="4720"/>
      <c r="D604" s="4720"/>
      <c r="E604" s="1249" t="s">
        <v>493</v>
      </c>
      <c r="F604" s="1244">
        <f t="shared" si="29"/>
        <v>14955</v>
      </c>
      <c r="G604" s="1244"/>
      <c r="H604" s="1244"/>
      <c r="I604" s="1244">
        <v>14955</v>
      </c>
      <c r="J604" s="1243"/>
      <c r="K604" s="1255"/>
      <c r="L604" s="1254"/>
    </row>
    <row r="605" spans="1:12" s="1240" customFormat="1" ht="15" customHeight="1">
      <c r="A605" s="4707"/>
      <c r="B605" s="4710"/>
      <c r="C605" s="4720"/>
      <c r="D605" s="4720"/>
      <c r="E605" s="1249" t="s">
        <v>478</v>
      </c>
      <c r="F605" s="1244">
        <f t="shared" si="29"/>
        <v>75626</v>
      </c>
      <c r="G605" s="1244"/>
      <c r="H605" s="1244">
        <v>75626</v>
      </c>
      <c r="I605" s="1244"/>
      <c r="J605" s="1243"/>
      <c r="K605" s="1255"/>
      <c r="L605" s="1254"/>
    </row>
    <row r="606" spans="1:12" s="1240" customFormat="1" ht="15" customHeight="1">
      <c r="A606" s="4707"/>
      <c r="B606" s="4710"/>
      <c r="C606" s="4720"/>
      <c r="D606" s="4720"/>
      <c r="E606" s="1249" t="s">
        <v>459</v>
      </c>
      <c r="F606" s="1244">
        <f t="shared" si="29"/>
        <v>13346</v>
      </c>
      <c r="G606" s="1244"/>
      <c r="H606" s="1244"/>
      <c r="I606" s="1244">
        <v>13346</v>
      </c>
      <c r="J606" s="1243"/>
      <c r="K606" s="1255"/>
      <c r="L606" s="1254"/>
    </row>
    <row r="607" spans="1:12" s="1240" customFormat="1" ht="15" customHeight="1">
      <c r="A607" s="4707"/>
      <c r="B607" s="4710"/>
      <c r="C607" s="4720"/>
      <c r="D607" s="4720"/>
      <c r="E607" s="1249" t="s">
        <v>477</v>
      </c>
      <c r="F607" s="1244">
        <f t="shared" si="29"/>
        <v>9463</v>
      </c>
      <c r="G607" s="1244"/>
      <c r="H607" s="1244">
        <v>9463</v>
      </c>
      <c r="I607" s="1244"/>
      <c r="J607" s="1243"/>
      <c r="K607" s="1255"/>
      <c r="L607" s="1254"/>
    </row>
    <row r="608" spans="1:12" s="1240" customFormat="1" ht="15" customHeight="1">
      <c r="A608" s="4707"/>
      <c r="B608" s="4710"/>
      <c r="C608" s="4720"/>
      <c r="D608" s="4720"/>
      <c r="E608" s="1249" t="s">
        <v>457</v>
      </c>
      <c r="F608" s="1244">
        <f t="shared" si="29"/>
        <v>1670</v>
      </c>
      <c r="G608" s="1244"/>
      <c r="H608" s="1244"/>
      <c r="I608" s="1244">
        <v>1670</v>
      </c>
      <c r="J608" s="1243"/>
      <c r="K608" s="1255"/>
      <c r="L608" s="1254"/>
    </row>
    <row r="609" spans="1:12" s="1240" customFormat="1" ht="15" customHeight="1">
      <c r="A609" s="4707"/>
      <c r="B609" s="4710"/>
      <c r="C609" s="4720"/>
      <c r="D609" s="4720"/>
      <c r="E609" s="1249" t="s">
        <v>476</v>
      </c>
      <c r="F609" s="1244">
        <f t="shared" si="29"/>
        <v>9941</v>
      </c>
      <c r="G609" s="1244"/>
      <c r="H609" s="1244">
        <v>9941</v>
      </c>
      <c r="I609" s="1244"/>
      <c r="J609" s="1243"/>
      <c r="K609" s="1255"/>
      <c r="L609" s="1254"/>
    </row>
    <row r="610" spans="1:12" s="1240" customFormat="1" ht="15" customHeight="1">
      <c r="A610" s="4707"/>
      <c r="B610" s="4710"/>
      <c r="C610" s="4720"/>
      <c r="D610" s="4720"/>
      <c r="E610" s="1249" t="s">
        <v>453</v>
      </c>
      <c r="F610" s="1244">
        <f t="shared" si="29"/>
        <v>1754</v>
      </c>
      <c r="G610" s="1244"/>
      <c r="H610" s="1244"/>
      <c r="I610" s="1244">
        <v>1754</v>
      </c>
      <c r="J610" s="1243"/>
      <c r="K610" s="1255"/>
      <c r="L610" s="1254"/>
    </row>
    <row r="611" spans="1:12" s="1240" customFormat="1" ht="22.5">
      <c r="A611" s="4707"/>
      <c r="B611" s="4710"/>
      <c r="C611" s="4720"/>
      <c r="D611" s="4720"/>
      <c r="E611" s="1248" t="s">
        <v>427</v>
      </c>
      <c r="F611" s="1247">
        <f>SUM(F612:F632)</f>
        <v>72523</v>
      </c>
      <c r="G611" s="1247">
        <f>SUM(G612:G632)</f>
        <v>0</v>
      </c>
      <c r="H611" s="1247">
        <f>SUM(H612:H632)</f>
        <v>61645</v>
      </c>
      <c r="I611" s="1247">
        <f>SUM(I612:I632)</f>
        <v>10878</v>
      </c>
      <c r="J611" s="1246">
        <f>SUM(J612:J632)</f>
        <v>0</v>
      </c>
      <c r="K611" s="1255"/>
      <c r="L611" s="1254"/>
    </row>
    <row r="612" spans="1:12" s="1240" customFormat="1" ht="15" hidden="1" customHeight="1">
      <c r="A612" s="4707"/>
      <c r="B612" s="4710"/>
      <c r="C612" s="4720"/>
      <c r="D612" s="4720"/>
      <c r="E612" s="1249" t="s">
        <v>533</v>
      </c>
      <c r="F612" s="1244">
        <f t="shared" ref="F612:F632" si="30">SUM(G612:J612)</f>
        <v>0</v>
      </c>
      <c r="G612" s="1244"/>
      <c r="H612" s="1244"/>
      <c r="I612" s="1244"/>
      <c r="J612" s="1243"/>
      <c r="K612" s="1255"/>
      <c r="L612" s="1254"/>
    </row>
    <row r="613" spans="1:12" s="1240" customFormat="1" ht="15" hidden="1" customHeight="1">
      <c r="A613" s="4707"/>
      <c r="B613" s="4710"/>
      <c r="C613" s="4720"/>
      <c r="D613" s="4720"/>
      <c r="E613" s="1249" t="s">
        <v>449</v>
      </c>
      <c r="F613" s="1244">
        <f t="shared" si="30"/>
        <v>0</v>
      </c>
      <c r="G613" s="1244"/>
      <c r="H613" s="1244"/>
      <c r="I613" s="1244"/>
      <c r="J613" s="1243"/>
      <c r="K613" s="1255"/>
      <c r="L613" s="1254"/>
    </row>
    <row r="614" spans="1:12" s="1240" customFormat="1" ht="15" hidden="1" customHeight="1">
      <c r="A614" s="4707"/>
      <c r="B614" s="4710"/>
      <c r="C614" s="4720"/>
      <c r="D614" s="4720"/>
      <c r="E614" s="1249" t="s">
        <v>561</v>
      </c>
      <c r="F614" s="1244">
        <f t="shared" si="30"/>
        <v>0</v>
      </c>
      <c r="G614" s="1244"/>
      <c r="H614" s="1244"/>
      <c r="I614" s="1244"/>
      <c r="J614" s="1243"/>
      <c r="K614" s="1255"/>
      <c r="L614" s="1254"/>
    </row>
    <row r="615" spans="1:12" s="1240" customFormat="1" ht="15" hidden="1" customHeight="1">
      <c r="A615" s="4707"/>
      <c r="B615" s="4710"/>
      <c r="C615" s="4720"/>
      <c r="D615" s="4720"/>
      <c r="E615" s="1249" t="s">
        <v>470</v>
      </c>
      <c r="F615" s="1244">
        <f t="shared" si="30"/>
        <v>0</v>
      </c>
      <c r="G615" s="1244"/>
      <c r="H615" s="1244"/>
      <c r="I615" s="1244"/>
      <c r="J615" s="1243"/>
      <c r="K615" s="1255"/>
      <c r="L615" s="1254"/>
    </row>
    <row r="616" spans="1:12" s="1240" customFormat="1" ht="15" customHeight="1">
      <c r="A616" s="4707"/>
      <c r="B616" s="4710"/>
      <c r="C616" s="4720"/>
      <c r="D616" s="4720"/>
      <c r="E616" s="1249" t="s">
        <v>532</v>
      </c>
      <c r="F616" s="1244">
        <f t="shared" si="30"/>
        <v>10815</v>
      </c>
      <c r="G616" s="1244"/>
      <c r="H616" s="1244">
        <v>10815</v>
      </c>
      <c r="I616" s="1244"/>
      <c r="J616" s="1243"/>
      <c r="K616" s="1255"/>
      <c r="L616" s="1254"/>
    </row>
    <row r="617" spans="1:12" s="1240" customFormat="1" ht="15" customHeight="1">
      <c r="A617" s="4707"/>
      <c r="B617" s="4710"/>
      <c r="C617" s="4720"/>
      <c r="D617" s="4720"/>
      <c r="E617" s="1249" t="s">
        <v>447</v>
      </c>
      <c r="F617" s="1244">
        <f t="shared" si="30"/>
        <v>1908</v>
      </c>
      <c r="G617" s="1244"/>
      <c r="H617" s="1244"/>
      <c r="I617" s="1244">
        <v>1908</v>
      </c>
      <c r="J617" s="1243"/>
      <c r="K617" s="1255"/>
      <c r="L617" s="1254"/>
    </row>
    <row r="618" spans="1:12" s="1240" customFormat="1" ht="15" customHeight="1">
      <c r="A618" s="4707"/>
      <c r="B618" s="4710"/>
      <c r="C618" s="4720"/>
      <c r="D618" s="4720"/>
      <c r="E618" s="1249" t="s">
        <v>529</v>
      </c>
      <c r="F618" s="1244">
        <f t="shared" si="30"/>
        <v>35870</v>
      </c>
      <c r="G618" s="1244"/>
      <c r="H618" s="1244">
        <v>35870</v>
      </c>
      <c r="I618" s="1244"/>
      <c r="J618" s="1243"/>
      <c r="K618" s="1255"/>
      <c r="L618" s="1254"/>
    </row>
    <row r="619" spans="1:12" s="1240" customFormat="1" ht="15" customHeight="1">
      <c r="A619" s="4707"/>
      <c r="B619" s="4710"/>
      <c r="C619" s="4720"/>
      <c r="D619" s="4720"/>
      <c r="E619" s="1249" t="s">
        <v>445</v>
      </c>
      <c r="F619" s="1244">
        <f t="shared" si="30"/>
        <v>6330</v>
      </c>
      <c r="G619" s="1244"/>
      <c r="H619" s="1244"/>
      <c r="I619" s="1244">
        <v>6330</v>
      </c>
      <c r="J619" s="1243"/>
      <c r="K619" s="1255"/>
      <c r="L619" s="1254"/>
    </row>
    <row r="620" spans="1:12" s="1240" customFormat="1" ht="15" customHeight="1">
      <c r="A620" s="4707"/>
      <c r="B620" s="4710"/>
      <c r="C620" s="4720"/>
      <c r="D620" s="4720"/>
      <c r="E620" s="1249" t="s">
        <v>528</v>
      </c>
      <c r="F620" s="1244">
        <f t="shared" si="30"/>
        <v>1020</v>
      </c>
      <c r="G620" s="1244"/>
      <c r="H620" s="1244">
        <v>1020</v>
      </c>
      <c r="I620" s="1244"/>
      <c r="J620" s="1243"/>
      <c r="K620" s="1255"/>
      <c r="L620" s="1254"/>
    </row>
    <row r="621" spans="1:12" s="1240" customFormat="1" ht="15" customHeight="1">
      <c r="A621" s="4707"/>
      <c r="B621" s="4710"/>
      <c r="C621" s="4720"/>
      <c r="D621" s="4720"/>
      <c r="E621" s="1249" t="s">
        <v>443</v>
      </c>
      <c r="F621" s="1244">
        <f t="shared" si="30"/>
        <v>180</v>
      </c>
      <c r="G621" s="1244"/>
      <c r="H621" s="1244"/>
      <c r="I621" s="1244">
        <v>180</v>
      </c>
      <c r="J621" s="1243"/>
      <c r="K621" s="1255"/>
      <c r="L621" s="1254"/>
    </row>
    <row r="622" spans="1:12" s="1240" customFormat="1" ht="15" customHeight="1">
      <c r="A622" s="4707"/>
      <c r="B622" s="4710"/>
      <c r="C622" s="4720"/>
      <c r="D622" s="4720"/>
      <c r="E622" s="1249" t="s">
        <v>525</v>
      </c>
      <c r="F622" s="1244">
        <f t="shared" si="30"/>
        <v>12240</v>
      </c>
      <c r="G622" s="1244"/>
      <c r="H622" s="1244">
        <v>12240</v>
      </c>
      <c r="I622" s="1244"/>
      <c r="J622" s="1243"/>
      <c r="K622" s="1255"/>
      <c r="L622" s="1254"/>
    </row>
    <row r="623" spans="1:12" s="1240" customFormat="1" ht="15" customHeight="1">
      <c r="A623" s="4707"/>
      <c r="B623" s="4710"/>
      <c r="C623" s="4720"/>
      <c r="D623" s="4720"/>
      <c r="E623" s="1249" t="s">
        <v>509</v>
      </c>
      <c r="F623" s="1244">
        <f t="shared" si="30"/>
        <v>2160</v>
      </c>
      <c r="G623" s="1244"/>
      <c r="H623" s="1244"/>
      <c r="I623" s="1244">
        <v>2160</v>
      </c>
      <c r="J623" s="1243"/>
      <c r="K623" s="1255"/>
      <c r="L623" s="1254"/>
    </row>
    <row r="624" spans="1:12" s="1240" customFormat="1" ht="15" customHeight="1">
      <c r="A624" s="4707"/>
      <c r="B624" s="4710"/>
      <c r="C624" s="4720"/>
      <c r="D624" s="4720"/>
      <c r="E624" s="1249" t="s">
        <v>524</v>
      </c>
      <c r="F624" s="1244">
        <f t="shared" si="30"/>
        <v>850</v>
      </c>
      <c r="G624" s="1244"/>
      <c r="H624" s="1244">
        <v>850</v>
      </c>
      <c r="I624" s="1244"/>
      <c r="J624" s="1243"/>
      <c r="K624" s="1255"/>
      <c r="L624" s="1254"/>
    </row>
    <row r="625" spans="1:12" s="1240" customFormat="1" ht="15" customHeight="1">
      <c r="A625" s="4707"/>
      <c r="B625" s="4710"/>
      <c r="C625" s="4720"/>
      <c r="D625" s="4720"/>
      <c r="E625" s="1249" t="s">
        <v>466</v>
      </c>
      <c r="F625" s="1244">
        <f t="shared" si="30"/>
        <v>150</v>
      </c>
      <c r="G625" s="1244"/>
      <c r="H625" s="1244"/>
      <c r="I625" s="1244">
        <v>150</v>
      </c>
      <c r="J625" s="1243"/>
      <c r="K625" s="1255"/>
      <c r="L625" s="1254"/>
    </row>
    <row r="626" spans="1:12" s="1240" customFormat="1" ht="15" hidden="1" customHeight="1">
      <c r="A626" s="4707"/>
      <c r="B626" s="4710"/>
      <c r="C626" s="4720"/>
      <c r="D626" s="4720"/>
      <c r="E626" s="1249" t="s">
        <v>521</v>
      </c>
      <c r="F626" s="1244">
        <f t="shared" si="30"/>
        <v>0</v>
      </c>
      <c r="G626" s="1244"/>
      <c r="H626" s="1244"/>
      <c r="I626" s="1244"/>
      <c r="J626" s="1243"/>
      <c r="K626" s="1255"/>
      <c r="L626" s="1254"/>
    </row>
    <row r="627" spans="1:12" s="1240" customFormat="1" ht="15" hidden="1" customHeight="1">
      <c r="A627" s="4707"/>
      <c r="B627" s="4710"/>
      <c r="C627" s="4720"/>
      <c r="D627" s="4720"/>
      <c r="E627" s="1249" t="s">
        <v>487</v>
      </c>
      <c r="F627" s="1244">
        <f t="shared" si="30"/>
        <v>0</v>
      </c>
      <c r="G627" s="1244"/>
      <c r="H627" s="1244"/>
      <c r="I627" s="1244"/>
      <c r="J627" s="1243"/>
      <c r="K627" s="1255"/>
      <c r="L627" s="1254"/>
    </row>
    <row r="628" spans="1:12" s="1240" customFormat="1" ht="15" customHeight="1">
      <c r="A628" s="4707"/>
      <c r="B628" s="4710"/>
      <c r="C628" s="4720"/>
      <c r="D628" s="4720"/>
      <c r="E628" s="1249" t="s">
        <v>519</v>
      </c>
      <c r="F628" s="1244">
        <f t="shared" si="30"/>
        <v>850</v>
      </c>
      <c r="G628" s="1244"/>
      <c r="H628" s="1244">
        <v>850</v>
      </c>
      <c r="I628" s="1244"/>
      <c r="J628" s="1243"/>
      <c r="K628" s="1255"/>
      <c r="L628" s="1254"/>
    </row>
    <row r="629" spans="1:12" s="1240" customFormat="1" ht="15" customHeight="1">
      <c r="A629" s="4707"/>
      <c r="B629" s="4710"/>
      <c r="C629" s="4720"/>
      <c r="D629" s="4720"/>
      <c r="E629" s="1249" t="s">
        <v>485</v>
      </c>
      <c r="F629" s="1244">
        <f t="shared" si="30"/>
        <v>150</v>
      </c>
      <c r="G629" s="1244"/>
      <c r="H629" s="1244"/>
      <c r="I629" s="1244">
        <v>150</v>
      </c>
      <c r="J629" s="1243"/>
      <c r="K629" s="1255"/>
      <c r="L629" s="1254"/>
    </row>
    <row r="630" spans="1:12" s="1240" customFormat="1" ht="15" hidden="1" customHeight="1">
      <c r="A630" s="4707"/>
      <c r="B630" s="4710"/>
      <c r="C630" s="4720"/>
      <c r="D630" s="4720"/>
      <c r="E630" s="1249" t="s">
        <v>364</v>
      </c>
      <c r="F630" s="1244">
        <f t="shared" si="30"/>
        <v>0</v>
      </c>
      <c r="G630" s="1244"/>
      <c r="H630" s="1244"/>
      <c r="I630" s="1244"/>
      <c r="J630" s="1243"/>
      <c r="K630" s="1255"/>
      <c r="L630" s="1254"/>
    </row>
    <row r="631" spans="1:12" s="1240" customFormat="1" ht="15" hidden="1" customHeight="1">
      <c r="A631" s="4707"/>
      <c r="B631" s="4710"/>
      <c r="C631" s="4720"/>
      <c r="D631" s="4720"/>
      <c r="E631" s="1249" t="s">
        <v>300</v>
      </c>
      <c r="F631" s="1244">
        <f t="shared" si="30"/>
        <v>0</v>
      </c>
      <c r="G631" s="1244"/>
      <c r="H631" s="1244"/>
      <c r="I631" s="1244"/>
      <c r="J631" s="1243"/>
      <c r="K631" s="1255"/>
      <c r="L631" s="1254"/>
    </row>
    <row r="632" spans="1:12" s="1240" customFormat="1" ht="15" hidden="1" customHeight="1">
      <c r="A632" s="4707"/>
      <c r="B632" s="4710"/>
      <c r="C632" s="4720"/>
      <c r="D632" s="4720"/>
      <c r="E632" s="1249" t="s">
        <v>488</v>
      </c>
      <c r="F632" s="1244">
        <f t="shared" si="30"/>
        <v>0</v>
      </c>
      <c r="G632" s="1244"/>
      <c r="H632" s="1244"/>
      <c r="I632" s="1244"/>
      <c r="J632" s="1243"/>
      <c r="K632" s="1255"/>
      <c r="L632" s="1254"/>
    </row>
    <row r="633" spans="1:12" s="1240" customFormat="1" ht="15" customHeight="1">
      <c r="A633" s="4708"/>
      <c r="B633" s="4711"/>
      <c r="C633" s="4719"/>
      <c r="D633" s="4719"/>
      <c r="E633" s="1239" t="s">
        <v>423</v>
      </c>
      <c r="F633" s="1238">
        <f>SUM(F634:F635)</f>
        <v>0</v>
      </c>
      <c r="G633" s="1238">
        <f>SUM(G634:G635)</f>
        <v>0</v>
      </c>
      <c r="H633" s="1238">
        <f>SUM(H634:H635)</f>
        <v>0</v>
      </c>
      <c r="I633" s="1238">
        <f>SUM(I634:I635)</f>
        <v>0</v>
      </c>
      <c r="J633" s="1237">
        <f>SUM(J634:J635)</f>
        <v>0</v>
      </c>
      <c r="K633" s="1255"/>
      <c r="L633" s="1254"/>
    </row>
    <row r="634" spans="1:12" s="1240" customFormat="1" ht="15" hidden="1" customHeight="1">
      <c r="A634" s="1235"/>
      <c r="B634" s="1234"/>
      <c r="C634" s="1232"/>
      <c r="D634" s="1232"/>
      <c r="E634" s="1236" t="s">
        <v>500</v>
      </c>
      <c r="F634" s="1230">
        <f>SUM(G634:J634)</f>
        <v>0</v>
      </c>
      <c r="G634" s="1230"/>
      <c r="H634" s="1230"/>
      <c r="I634" s="1230"/>
      <c r="J634" s="1229"/>
      <c r="K634" s="1255"/>
      <c r="L634" s="1254"/>
    </row>
    <row r="635" spans="1:12" s="1240" customFormat="1" ht="15" hidden="1" customHeight="1">
      <c r="A635" s="1235"/>
      <c r="B635" s="1234"/>
      <c r="C635" s="1232"/>
      <c r="D635" s="1232"/>
      <c r="E635" s="1231">
        <v>6069</v>
      </c>
      <c r="F635" s="1230">
        <f>SUM(G635:J635)</f>
        <v>0</v>
      </c>
      <c r="G635" s="1230"/>
      <c r="H635" s="1230"/>
      <c r="I635" s="1230"/>
      <c r="J635" s="1229"/>
      <c r="K635" s="1255"/>
      <c r="L635" s="1254"/>
    </row>
    <row r="636" spans="1:12" s="1240" customFormat="1" ht="22.5" hidden="1">
      <c r="A636" s="4669"/>
      <c r="B636" s="4672" t="s">
        <v>560</v>
      </c>
      <c r="C636" s="4678"/>
      <c r="D636" s="4678"/>
      <c r="E636" s="1269" t="s">
        <v>435</v>
      </c>
      <c r="F636" s="1268">
        <f>SUM(F637,F655)</f>
        <v>0</v>
      </c>
      <c r="G636" s="1268">
        <f>SUM(G637,G655)</f>
        <v>0</v>
      </c>
      <c r="H636" s="1268">
        <f>SUM(H637,H655)</f>
        <v>0</v>
      </c>
      <c r="I636" s="1268">
        <f>SUM(I637,I655)</f>
        <v>0</v>
      </c>
      <c r="J636" s="1267">
        <f>SUM(J637,J655)</f>
        <v>0</v>
      </c>
      <c r="K636" s="1280"/>
      <c r="L636" s="1254"/>
    </row>
    <row r="637" spans="1:12" s="1240" customFormat="1" ht="21" hidden="1">
      <c r="A637" s="4670"/>
      <c r="B637" s="4673"/>
      <c r="C637" s="4679"/>
      <c r="D637" s="4679"/>
      <c r="E637" s="1266" t="s">
        <v>434</v>
      </c>
      <c r="F637" s="1261">
        <f>SUM(F638,F641,F648)</f>
        <v>0</v>
      </c>
      <c r="G637" s="1261">
        <f>SUM(G638,G641,G648)</f>
        <v>0</v>
      </c>
      <c r="H637" s="1261">
        <f>SUM(H638,H641,H648)</f>
        <v>0</v>
      </c>
      <c r="I637" s="1261">
        <f>SUM(I638,I641,I648)</f>
        <v>0</v>
      </c>
      <c r="J637" s="1260">
        <f>SUM(J638,J641,J648)</f>
        <v>0</v>
      </c>
      <c r="K637" s="1272"/>
      <c r="L637" s="1254"/>
    </row>
    <row r="638" spans="1:12" s="1240" customFormat="1" ht="15" hidden="1" customHeight="1">
      <c r="A638" s="4670"/>
      <c r="B638" s="4673"/>
      <c r="C638" s="4679"/>
      <c r="D638" s="4679"/>
      <c r="E638" s="1265" t="s">
        <v>433</v>
      </c>
      <c r="F638" s="1264">
        <f>SUM(F639:F640)</f>
        <v>0</v>
      </c>
      <c r="G638" s="1264">
        <f>SUM(G639:G640)</f>
        <v>0</v>
      </c>
      <c r="H638" s="1264">
        <f>SUM(H639:H640)</f>
        <v>0</v>
      </c>
      <c r="I638" s="1264">
        <f>SUM(I639:I640)</f>
        <v>0</v>
      </c>
      <c r="J638" s="1263">
        <f>SUM(J639:J640)</f>
        <v>0</v>
      </c>
      <c r="K638" s="1272"/>
      <c r="L638" s="1254"/>
    </row>
    <row r="639" spans="1:12" s="1240" customFormat="1" ht="15" hidden="1" customHeight="1">
      <c r="A639" s="4670"/>
      <c r="B639" s="4673"/>
      <c r="C639" s="4679"/>
      <c r="D639" s="4679"/>
      <c r="E639" s="1236"/>
      <c r="F639" s="1230">
        <f>SUM(G639:J639)</f>
        <v>0</v>
      </c>
      <c r="G639" s="1230"/>
      <c r="H639" s="1230"/>
      <c r="I639" s="1230"/>
      <c r="J639" s="1229"/>
      <c r="K639" s="1272"/>
      <c r="L639" s="1254"/>
    </row>
    <row r="640" spans="1:12" s="1240" customFormat="1" ht="15" hidden="1" customHeight="1">
      <c r="A640" s="4670"/>
      <c r="B640" s="4673"/>
      <c r="C640" s="4679"/>
      <c r="D640" s="4679"/>
      <c r="E640" s="1236"/>
      <c r="F640" s="1230">
        <f>SUM(G640:J640)</f>
        <v>0</v>
      </c>
      <c r="G640" s="1230"/>
      <c r="H640" s="1230"/>
      <c r="I640" s="1230"/>
      <c r="J640" s="1229"/>
      <c r="K640" s="1255"/>
      <c r="L640" s="1254"/>
    </row>
    <row r="641" spans="1:12" s="1240" customFormat="1" ht="22.5" hidden="1">
      <c r="A641" s="4670"/>
      <c r="B641" s="4673"/>
      <c r="C641" s="4679"/>
      <c r="D641" s="4679"/>
      <c r="E641" s="1265" t="s">
        <v>432</v>
      </c>
      <c r="F641" s="1264">
        <f>SUM(F642:F647)</f>
        <v>0</v>
      </c>
      <c r="G641" s="1264">
        <f>SUM(G642:G647)</f>
        <v>0</v>
      </c>
      <c r="H641" s="1264">
        <f>SUM(H642:H647)</f>
        <v>0</v>
      </c>
      <c r="I641" s="1264">
        <f>SUM(I642:I647)</f>
        <v>0</v>
      </c>
      <c r="J641" s="1263">
        <f>SUM(J642:J647)</f>
        <v>0</v>
      </c>
      <c r="K641" s="1255"/>
      <c r="L641" s="1254"/>
    </row>
    <row r="642" spans="1:12" s="1240" customFormat="1" ht="15" hidden="1" customHeight="1">
      <c r="A642" s="4670"/>
      <c r="B642" s="4673"/>
      <c r="C642" s="4679"/>
      <c r="D642" s="4679"/>
      <c r="E642" s="1236"/>
      <c r="F642" s="1230">
        <f t="shared" ref="F642:F647" si="31">SUM(G642:J642)</f>
        <v>0</v>
      </c>
      <c r="G642" s="1230"/>
      <c r="H642" s="1230"/>
      <c r="I642" s="1230"/>
      <c r="J642" s="1229"/>
      <c r="K642" s="1272"/>
      <c r="L642" s="1254"/>
    </row>
    <row r="643" spans="1:12" s="1240" customFormat="1" ht="15" hidden="1" customHeight="1">
      <c r="A643" s="4670"/>
      <c r="B643" s="4673"/>
      <c r="C643" s="4679"/>
      <c r="D643" s="4679"/>
      <c r="E643" s="1236"/>
      <c r="F643" s="1230">
        <f t="shared" si="31"/>
        <v>0</v>
      </c>
      <c r="G643" s="1230"/>
      <c r="H643" s="1230"/>
      <c r="I643" s="1230"/>
      <c r="J643" s="1229"/>
      <c r="K643" s="1272"/>
      <c r="L643" s="1254"/>
    </row>
    <row r="644" spans="1:12" s="1240" customFormat="1" ht="15" hidden="1" customHeight="1">
      <c r="A644" s="4670"/>
      <c r="B644" s="4673"/>
      <c r="C644" s="4679"/>
      <c r="D644" s="4679"/>
      <c r="E644" s="1236"/>
      <c r="F644" s="1230">
        <f t="shared" si="31"/>
        <v>0</v>
      </c>
      <c r="G644" s="1230"/>
      <c r="H644" s="1230"/>
      <c r="I644" s="1230"/>
      <c r="J644" s="1229"/>
      <c r="K644" s="1280"/>
      <c r="L644" s="1254"/>
    </row>
    <row r="645" spans="1:12" s="1240" customFormat="1" ht="15" hidden="1" customHeight="1">
      <c r="A645" s="4670"/>
      <c r="B645" s="4673"/>
      <c r="C645" s="4679"/>
      <c r="D645" s="4679"/>
      <c r="E645" s="1236"/>
      <c r="F645" s="1230">
        <f t="shared" si="31"/>
        <v>0</v>
      </c>
      <c r="G645" s="1230"/>
      <c r="H645" s="1230"/>
      <c r="I645" s="1230"/>
      <c r="J645" s="1229"/>
      <c r="K645" s="1255"/>
      <c r="L645" s="1254"/>
    </row>
    <row r="646" spans="1:12" s="1240" customFormat="1" ht="15" hidden="1" customHeight="1">
      <c r="A646" s="4670"/>
      <c r="B646" s="4673"/>
      <c r="C646" s="4679"/>
      <c r="D646" s="4679"/>
      <c r="E646" s="1236"/>
      <c r="F646" s="1230">
        <f t="shared" si="31"/>
        <v>0</v>
      </c>
      <c r="G646" s="1230"/>
      <c r="H646" s="1230"/>
      <c r="I646" s="1230"/>
      <c r="J646" s="1229"/>
      <c r="K646" s="1255"/>
      <c r="L646" s="1254"/>
    </row>
    <row r="647" spans="1:12" s="1240" customFormat="1" ht="15" hidden="1" customHeight="1">
      <c r="A647" s="4670"/>
      <c r="B647" s="4673"/>
      <c r="C647" s="4679"/>
      <c r="D647" s="4679"/>
      <c r="E647" s="1236"/>
      <c r="F647" s="1230">
        <f t="shared" si="31"/>
        <v>0</v>
      </c>
      <c r="G647" s="1230"/>
      <c r="H647" s="1230"/>
      <c r="I647" s="1230"/>
      <c r="J647" s="1229"/>
      <c r="K647" s="1255"/>
      <c r="L647" s="1254"/>
    </row>
    <row r="648" spans="1:12" s="1240" customFormat="1" ht="22.5" hidden="1">
      <c r="A648" s="4670"/>
      <c r="B648" s="4673"/>
      <c r="C648" s="4679"/>
      <c r="D648" s="4679"/>
      <c r="E648" s="1265" t="s">
        <v>427</v>
      </c>
      <c r="F648" s="1264">
        <f>SUM(F649:F654)</f>
        <v>0</v>
      </c>
      <c r="G648" s="1264">
        <f>SUM(G649:G654)</f>
        <v>0</v>
      </c>
      <c r="H648" s="1264">
        <f>SUM(H649:H654)</f>
        <v>0</v>
      </c>
      <c r="I648" s="1264">
        <f>SUM(I649:I654)</f>
        <v>0</v>
      </c>
      <c r="J648" s="1263">
        <f>SUM(J649:J654)</f>
        <v>0</v>
      </c>
      <c r="K648" s="1272"/>
      <c r="L648" s="1254"/>
    </row>
    <row r="649" spans="1:12" s="1240" customFormat="1" ht="15" hidden="1" customHeight="1">
      <c r="A649" s="4670"/>
      <c r="B649" s="4673"/>
      <c r="C649" s="4679"/>
      <c r="D649" s="4679"/>
      <c r="E649" s="1236"/>
      <c r="F649" s="1230">
        <f t="shared" ref="F649:F654" si="32">SUM(G649:J649)</f>
        <v>0</v>
      </c>
      <c r="G649" s="1230"/>
      <c r="H649" s="1230"/>
      <c r="I649" s="1230"/>
      <c r="J649" s="1229"/>
      <c r="K649" s="1255"/>
      <c r="L649" s="1254"/>
    </row>
    <row r="650" spans="1:12" s="1240" customFormat="1" ht="15" hidden="1" customHeight="1">
      <c r="A650" s="4670"/>
      <c r="B650" s="4673"/>
      <c r="C650" s="4679"/>
      <c r="D650" s="4679"/>
      <c r="E650" s="1236"/>
      <c r="F650" s="1230">
        <f t="shared" si="32"/>
        <v>0</v>
      </c>
      <c r="G650" s="1230"/>
      <c r="H650" s="1230"/>
      <c r="I650" s="1230"/>
      <c r="J650" s="1229"/>
      <c r="K650" s="1255"/>
      <c r="L650" s="1254"/>
    </row>
    <row r="651" spans="1:12" s="1240" customFormat="1" ht="15" hidden="1" customHeight="1">
      <c r="A651" s="4670"/>
      <c r="B651" s="4673"/>
      <c r="C651" s="4679"/>
      <c r="D651" s="4679"/>
      <c r="E651" s="1236"/>
      <c r="F651" s="1230">
        <f t="shared" si="32"/>
        <v>0</v>
      </c>
      <c r="G651" s="1230"/>
      <c r="H651" s="1230"/>
      <c r="I651" s="1230"/>
      <c r="J651" s="1229"/>
      <c r="K651" s="1255"/>
      <c r="L651" s="1254"/>
    </row>
    <row r="652" spans="1:12" s="1240" customFormat="1" ht="15" hidden="1" customHeight="1">
      <c r="A652" s="4670"/>
      <c r="B652" s="4673"/>
      <c r="C652" s="4679"/>
      <c r="D652" s="4679"/>
      <c r="E652" s="1236"/>
      <c r="F652" s="1230">
        <f t="shared" si="32"/>
        <v>0</v>
      </c>
      <c r="G652" s="1230"/>
      <c r="H652" s="1230"/>
      <c r="I652" s="1230"/>
      <c r="J652" s="1229"/>
      <c r="K652" s="1255"/>
      <c r="L652" s="1254"/>
    </row>
    <row r="653" spans="1:12" s="1240" customFormat="1" ht="15" hidden="1" customHeight="1">
      <c r="A653" s="4670"/>
      <c r="B653" s="4673"/>
      <c r="C653" s="4679"/>
      <c r="D653" s="4679"/>
      <c r="E653" s="1236"/>
      <c r="F653" s="1230">
        <f t="shared" si="32"/>
        <v>0</v>
      </c>
      <c r="G653" s="1230"/>
      <c r="H653" s="1230"/>
      <c r="I653" s="1230"/>
      <c r="J653" s="1229"/>
      <c r="K653" s="1255"/>
      <c r="L653" s="1254"/>
    </row>
    <row r="654" spans="1:12" s="1240" customFormat="1" ht="15" hidden="1" customHeight="1">
      <c r="A654" s="4670"/>
      <c r="B654" s="4673"/>
      <c r="C654" s="4679"/>
      <c r="D654" s="4679"/>
      <c r="E654" s="1236"/>
      <c r="F654" s="1230">
        <f t="shared" si="32"/>
        <v>0</v>
      </c>
      <c r="G654" s="1230"/>
      <c r="H654" s="1230"/>
      <c r="I654" s="1230"/>
      <c r="J654" s="1229"/>
      <c r="K654" s="1255"/>
      <c r="L654" s="1254"/>
    </row>
    <row r="655" spans="1:12" s="1240" customFormat="1" ht="15" hidden="1" customHeight="1">
      <c r="A655" s="4671"/>
      <c r="B655" s="4674"/>
      <c r="C655" s="4680"/>
      <c r="D655" s="4680"/>
      <c r="E655" s="1262" t="s">
        <v>423</v>
      </c>
      <c r="F655" s="1261">
        <f>SUM(F656:F657)</f>
        <v>0</v>
      </c>
      <c r="G655" s="1261">
        <f>SUM(G656:G657)</f>
        <v>0</v>
      </c>
      <c r="H655" s="1261">
        <f>SUM(H656:H657)</f>
        <v>0</v>
      </c>
      <c r="I655" s="1261">
        <f>SUM(I656:I657)</f>
        <v>0</v>
      </c>
      <c r="J655" s="1260">
        <f>SUM(J656:J657)</f>
        <v>0</v>
      </c>
      <c r="K655" s="1255"/>
      <c r="L655" s="1254"/>
    </row>
    <row r="656" spans="1:12" s="1240" customFormat="1" ht="15" hidden="1" customHeight="1">
      <c r="A656" s="1235"/>
      <c r="B656" s="1234"/>
      <c r="C656" s="1232"/>
      <c r="D656" s="1232"/>
      <c r="E656" s="1236"/>
      <c r="F656" s="1230">
        <f>SUM(G656:J656)</f>
        <v>0</v>
      </c>
      <c r="G656" s="1230"/>
      <c r="H656" s="1230"/>
      <c r="I656" s="1230"/>
      <c r="J656" s="1229"/>
      <c r="K656" s="1255"/>
      <c r="L656" s="1254"/>
    </row>
    <row r="657" spans="1:17" s="1240" customFormat="1" ht="15" hidden="1" customHeight="1">
      <c r="A657" s="1235"/>
      <c r="B657" s="1234"/>
      <c r="C657" s="1232"/>
      <c r="D657" s="1232"/>
      <c r="E657" s="1231"/>
      <c r="F657" s="1230">
        <f>SUM(G657:J657)</f>
        <v>0</v>
      </c>
      <c r="G657" s="1230"/>
      <c r="H657" s="1230"/>
      <c r="I657" s="1230"/>
      <c r="J657" s="1229"/>
      <c r="K657" s="1255"/>
      <c r="L657" s="1254"/>
    </row>
    <row r="658" spans="1:17" s="1256" customFormat="1" ht="30" customHeight="1">
      <c r="A658" s="1259" t="s">
        <v>559</v>
      </c>
      <c r="B658" s="4688" t="s">
        <v>558</v>
      </c>
      <c r="C658" s="4688"/>
      <c r="D658" s="4688"/>
      <c r="E658" s="4688"/>
      <c r="F658" s="1258">
        <f>F660+F675+F690+F720+F765</f>
        <v>132806672</v>
      </c>
      <c r="G658" s="1258">
        <f>G660+G675+G690+G720+G765</f>
        <v>47161665</v>
      </c>
      <c r="H658" s="1258">
        <f>H660+H675+H690+H720+H765</f>
        <v>84997854</v>
      </c>
      <c r="I658" s="1258">
        <f>I660+I675+I690+I720+I765</f>
        <v>0</v>
      </c>
      <c r="J658" s="1257">
        <f>J660+J675+J690+J720+J765</f>
        <v>647153</v>
      </c>
      <c r="K658" s="1306"/>
      <c r="L658" s="1305"/>
      <c r="M658" s="1305"/>
      <c r="N658" s="1305"/>
      <c r="O658" s="1305"/>
    </row>
    <row r="659" spans="1:17" s="1240" customFormat="1" ht="15" customHeight="1">
      <c r="A659" s="4689"/>
      <c r="B659" s="4690"/>
      <c r="C659" s="4690"/>
      <c r="D659" s="4690"/>
      <c r="E659" s="4690"/>
      <c r="F659" s="4690"/>
      <c r="G659" s="4690"/>
      <c r="H659" s="4690"/>
      <c r="I659" s="4690"/>
      <c r="J659" s="4691"/>
      <c r="K659" s="1255"/>
      <c r="L659" s="1254"/>
    </row>
    <row r="660" spans="1:17" s="1256" customFormat="1" ht="22.5">
      <c r="A660" s="4706" t="s">
        <v>473</v>
      </c>
      <c r="B660" s="4709" t="s">
        <v>557</v>
      </c>
      <c r="C660" s="4695">
        <v>600</v>
      </c>
      <c r="D660" s="4718" t="s">
        <v>547</v>
      </c>
      <c r="E660" s="1253" t="s">
        <v>435</v>
      </c>
      <c r="F660" s="1252">
        <f>SUM(F661,F668)</f>
        <v>6384515</v>
      </c>
      <c r="G660" s="1252">
        <f>SUM(G661,G668)</f>
        <v>2454247</v>
      </c>
      <c r="H660" s="1252">
        <f>SUM(H661,H668)</f>
        <v>3930268</v>
      </c>
      <c r="I660" s="1252">
        <f>SUM(I661,I668)</f>
        <v>0</v>
      </c>
      <c r="J660" s="1251">
        <f>SUM(J661,J668)</f>
        <v>0</v>
      </c>
      <c r="K660" s="1272"/>
      <c r="L660" s="1254"/>
      <c r="M660" s="1240"/>
      <c r="N660" s="1240"/>
      <c r="O660" s="1240"/>
      <c r="P660" s="1240"/>
      <c r="Q660" s="1240"/>
    </row>
    <row r="661" spans="1:17" s="1256" customFormat="1" ht="15" customHeight="1">
      <c r="A661" s="4707"/>
      <c r="B661" s="4710"/>
      <c r="C661" s="4722"/>
      <c r="D661" s="4720"/>
      <c r="E661" s="1250" t="s">
        <v>541</v>
      </c>
      <c r="F661" s="1238">
        <f>SUM(F662,F665)</f>
        <v>0</v>
      </c>
      <c r="G661" s="1238">
        <f>SUM(G662,G665)</f>
        <v>0</v>
      </c>
      <c r="H661" s="1238">
        <f>SUM(H662,H665)</f>
        <v>0</v>
      </c>
      <c r="I661" s="1238">
        <f>SUM(I662,I665)</f>
        <v>0</v>
      </c>
      <c r="J661" s="1237">
        <f>SUM(J662,J665)</f>
        <v>0</v>
      </c>
      <c r="K661" s="1255"/>
      <c r="L661" s="1254"/>
      <c r="M661" s="1240"/>
      <c r="N661" s="1240"/>
      <c r="O661" s="1240"/>
      <c r="P661" s="1240"/>
      <c r="Q661" s="1240"/>
    </row>
    <row r="662" spans="1:17" s="1256" customFormat="1" ht="22.5" hidden="1">
      <c r="A662" s="4707"/>
      <c r="B662" s="4710"/>
      <c r="C662" s="4722"/>
      <c r="D662" s="4720"/>
      <c r="E662" s="1248" t="s">
        <v>432</v>
      </c>
      <c r="F662" s="1247">
        <f>SUM(F663:F664)</f>
        <v>0</v>
      </c>
      <c r="G662" s="1247">
        <f>SUM(G663:G664)</f>
        <v>0</v>
      </c>
      <c r="H662" s="1247">
        <f>SUM(H663:H664)</f>
        <v>0</v>
      </c>
      <c r="I662" s="1247">
        <f>SUM(I663:I664)</f>
        <v>0</v>
      </c>
      <c r="J662" s="1246">
        <f>SUM(J663:J664)</f>
        <v>0</v>
      </c>
      <c r="K662" s="1255"/>
      <c r="L662" s="1254"/>
      <c r="M662" s="1240"/>
      <c r="N662" s="1240"/>
      <c r="O662" s="1240"/>
      <c r="P662" s="1240"/>
      <c r="Q662" s="1240"/>
    </row>
    <row r="663" spans="1:17" s="1256" customFormat="1" ht="15" hidden="1" customHeight="1">
      <c r="A663" s="4707"/>
      <c r="B663" s="4710"/>
      <c r="C663" s="4722"/>
      <c r="D663" s="4720"/>
      <c r="E663" s="1249"/>
      <c r="F663" s="1244">
        <f>SUM(G663:J663)</f>
        <v>0</v>
      </c>
      <c r="G663" s="1244"/>
      <c r="H663" s="1244"/>
      <c r="I663" s="1244"/>
      <c r="J663" s="1243"/>
      <c r="K663" s="1255"/>
      <c r="L663" s="1254"/>
      <c r="M663" s="1240"/>
      <c r="N663" s="1240"/>
      <c r="O663" s="1240"/>
      <c r="P663" s="1240"/>
      <c r="Q663" s="1240"/>
    </row>
    <row r="664" spans="1:17" s="1256" customFormat="1" ht="15" hidden="1" customHeight="1">
      <c r="A664" s="4707"/>
      <c r="B664" s="4710"/>
      <c r="C664" s="4722"/>
      <c r="D664" s="4720"/>
      <c r="E664" s="1249"/>
      <c r="F664" s="1244">
        <f>SUM(G664:J664)</f>
        <v>0</v>
      </c>
      <c r="G664" s="1244"/>
      <c r="H664" s="1244"/>
      <c r="I664" s="1244"/>
      <c r="J664" s="1243"/>
      <c r="K664" s="1255"/>
      <c r="L664" s="1254"/>
      <c r="M664" s="1240"/>
      <c r="N664" s="1240"/>
      <c r="O664" s="1240"/>
      <c r="P664" s="1240"/>
      <c r="Q664" s="1240"/>
    </row>
    <row r="665" spans="1:17" s="1256" customFormat="1" ht="22.5" hidden="1">
      <c r="A665" s="4707"/>
      <c r="B665" s="4710"/>
      <c r="C665" s="4722"/>
      <c r="D665" s="4720"/>
      <c r="E665" s="1248" t="s">
        <v>427</v>
      </c>
      <c r="F665" s="1247">
        <f>SUM(F666:F667)</f>
        <v>0</v>
      </c>
      <c r="G665" s="1247">
        <f>SUM(G666:G667)</f>
        <v>0</v>
      </c>
      <c r="H665" s="1247">
        <f>SUM(H666:H667)</f>
        <v>0</v>
      </c>
      <c r="I665" s="1247">
        <f>SUM(I666:I667)</f>
        <v>0</v>
      </c>
      <c r="J665" s="1246">
        <f>SUM(J666:J667)</f>
        <v>0</v>
      </c>
      <c r="K665" s="1255"/>
      <c r="L665" s="1254"/>
      <c r="M665" s="1240"/>
      <c r="N665" s="1240"/>
      <c r="O665" s="1240"/>
      <c r="P665" s="1240"/>
      <c r="Q665" s="1240"/>
    </row>
    <row r="666" spans="1:17" s="1256" customFormat="1" ht="15" hidden="1" customHeight="1">
      <c r="A666" s="4707"/>
      <c r="B666" s="4710"/>
      <c r="C666" s="4722"/>
      <c r="D666" s="4720"/>
      <c r="E666" s="1249"/>
      <c r="F666" s="1244">
        <f>SUM(G666:J666)</f>
        <v>0</v>
      </c>
      <c r="G666" s="1244"/>
      <c r="H666" s="1244"/>
      <c r="I666" s="1244"/>
      <c r="J666" s="1243"/>
      <c r="K666" s="1255"/>
      <c r="L666" s="1254"/>
      <c r="M666" s="1240"/>
      <c r="N666" s="1240"/>
      <c r="O666" s="1240"/>
      <c r="P666" s="1240"/>
      <c r="Q666" s="1240"/>
    </row>
    <row r="667" spans="1:17" s="1256" customFormat="1" ht="15" hidden="1" customHeight="1">
      <c r="A667" s="4707"/>
      <c r="B667" s="4710"/>
      <c r="C667" s="4722"/>
      <c r="D667" s="4720"/>
      <c r="E667" s="1249"/>
      <c r="F667" s="1244">
        <f>SUM(G667:J667)</f>
        <v>0</v>
      </c>
      <c r="G667" s="1244"/>
      <c r="H667" s="1244"/>
      <c r="I667" s="1244"/>
      <c r="J667" s="1243"/>
      <c r="K667" s="1255"/>
      <c r="L667" s="1254"/>
      <c r="M667" s="1240"/>
      <c r="N667" s="1240"/>
      <c r="O667" s="1240"/>
      <c r="P667" s="1240"/>
      <c r="Q667" s="1240"/>
    </row>
    <row r="668" spans="1:17" s="1256" customFormat="1" ht="15" customHeight="1">
      <c r="A668" s="4707"/>
      <c r="B668" s="4710"/>
      <c r="C668" s="4722"/>
      <c r="D668" s="4720"/>
      <c r="E668" s="1239" t="s">
        <v>423</v>
      </c>
      <c r="F668" s="1238">
        <f>SUM(F669:F674)</f>
        <v>6384515</v>
      </c>
      <c r="G668" s="1238">
        <f>SUM(G669:G674)</f>
        <v>2454247</v>
      </c>
      <c r="H668" s="1238">
        <f>SUM(H669:H674)</f>
        <v>3930268</v>
      </c>
      <c r="I668" s="1238">
        <f>SUM(I669:I674)</f>
        <v>0</v>
      </c>
      <c r="J668" s="1237">
        <f>SUM(J669:J674)</f>
        <v>0</v>
      </c>
      <c r="K668" s="1255"/>
      <c r="L668" s="1254"/>
      <c r="M668" s="1240"/>
      <c r="N668" s="1240"/>
      <c r="O668" s="1240"/>
      <c r="P668" s="1240"/>
      <c r="Q668" s="1240"/>
    </row>
    <row r="669" spans="1:17" s="1256" customFormat="1" ht="15" customHeight="1">
      <c r="A669" s="4707"/>
      <c r="B669" s="4710"/>
      <c r="C669" s="4722"/>
      <c r="D669" s="4720"/>
      <c r="E669" s="1249" t="s">
        <v>546</v>
      </c>
      <c r="F669" s="1244">
        <f t="shared" ref="F669:F674" si="33">SUM(G669:J669)</f>
        <v>1760670</v>
      </c>
      <c r="G669" s="1244">
        <v>1760670</v>
      </c>
      <c r="H669" s="1244"/>
      <c r="I669" s="1244"/>
      <c r="J669" s="1243"/>
      <c r="K669" s="1255"/>
      <c r="L669" s="1254"/>
      <c r="M669" s="1240"/>
      <c r="N669" s="1240"/>
      <c r="O669" s="1240"/>
      <c r="P669" s="1240"/>
      <c r="Q669" s="1240"/>
    </row>
    <row r="670" spans="1:17" s="1256" customFormat="1" ht="15" customHeight="1">
      <c r="A670" s="4707"/>
      <c r="B670" s="4710"/>
      <c r="C670" s="4722"/>
      <c r="D670" s="4720"/>
      <c r="E670" s="1249" t="s">
        <v>506</v>
      </c>
      <c r="F670" s="1244">
        <f t="shared" si="33"/>
        <v>3930268</v>
      </c>
      <c r="G670" s="1244"/>
      <c r="H670" s="1244">
        <v>3930268</v>
      </c>
      <c r="I670" s="1244"/>
      <c r="J670" s="1243"/>
      <c r="K670" s="1255"/>
      <c r="L670" s="1254"/>
      <c r="M670" s="1240"/>
      <c r="N670" s="1240"/>
      <c r="O670" s="1240"/>
      <c r="P670" s="1240"/>
      <c r="Q670" s="1240"/>
    </row>
    <row r="671" spans="1:17" s="1256" customFormat="1" ht="15" customHeight="1">
      <c r="A671" s="4707"/>
      <c r="B671" s="4710"/>
      <c r="C671" s="4722"/>
      <c r="D671" s="4720"/>
      <c r="E671" s="1281">
        <v>6059</v>
      </c>
      <c r="F671" s="1244">
        <f t="shared" si="33"/>
        <v>693577</v>
      </c>
      <c r="G671" s="1244">
        <v>693577</v>
      </c>
      <c r="H671" s="1244"/>
      <c r="I671" s="1244"/>
      <c r="J671" s="1243"/>
      <c r="K671" s="1255"/>
      <c r="L671" s="1254"/>
      <c r="M671" s="1240"/>
      <c r="N671" s="1240"/>
      <c r="O671" s="1240"/>
      <c r="P671" s="1240"/>
      <c r="Q671" s="1240"/>
    </row>
    <row r="672" spans="1:17" s="1256" customFormat="1" ht="15" hidden="1" customHeight="1">
      <c r="A672" s="4707"/>
      <c r="B672" s="4710"/>
      <c r="C672" s="4722"/>
      <c r="D672" s="4720"/>
      <c r="E672" s="1281">
        <v>6060</v>
      </c>
      <c r="F672" s="1244">
        <f t="shared" si="33"/>
        <v>0</v>
      </c>
      <c r="G672" s="1244"/>
      <c r="H672" s="1244"/>
      <c r="I672" s="1244"/>
      <c r="J672" s="1243"/>
      <c r="K672" s="1255"/>
      <c r="L672" s="1254"/>
      <c r="M672" s="1240"/>
      <c r="N672" s="1240"/>
      <c r="O672" s="1240"/>
      <c r="P672" s="1240"/>
      <c r="Q672" s="1240"/>
    </row>
    <row r="673" spans="1:17" s="1256" customFormat="1" ht="15" hidden="1" customHeight="1">
      <c r="A673" s="4707"/>
      <c r="B673" s="4710"/>
      <c r="C673" s="4722"/>
      <c r="D673" s="4720"/>
      <c r="E673" s="1249" t="s">
        <v>504</v>
      </c>
      <c r="F673" s="1244">
        <f t="shared" si="33"/>
        <v>0</v>
      </c>
      <c r="G673" s="1244"/>
      <c r="H673" s="1244"/>
      <c r="I673" s="1244"/>
      <c r="J673" s="1243"/>
      <c r="K673" s="1255"/>
      <c r="L673" s="1254"/>
      <c r="M673" s="1240"/>
      <c r="N673" s="1240"/>
      <c r="O673" s="1240"/>
      <c r="P673" s="1240"/>
      <c r="Q673" s="1240"/>
    </row>
    <row r="674" spans="1:17" s="1256" customFormat="1" ht="15" hidden="1" customHeight="1">
      <c r="A674" s="4708"/>
      <c r="B674" s="4711"/>
      <c r="C674" s="4696"/>
      <c r="D674" s="4719"/>
      <c r="E674" s="1281">
        <v>6069</v>
      </c>
      <c r="F674" s="1244">
        <f t="shared" si="33"/>
        <v>0</v>
      </c>
      <c r="G674" s="1244"/>
      <c r="H674" s="1244"/>
      <c r="I674" s="1244"/>
      <c r="J674" s="1243"/>
      <c r="K674" s="1255"/>
      <c r="L674" s="1254"/>
      <c r="M674" s="1240"/>
      <c r="N674" s="1240"/>
      <c r="O674" s="1240"/>
      <c r="P674" s="1240"/>
      <c r="Q674" s="1240"/>
    </row>
    <row r="675" spans="1:17" s="1240" customFormat="1" ht="22.5">
      <c r="A675" s="4692" t="s">
        <v>465</v>
      </c>
      <c r="B675" s="4693" t="s">
        <v>556</v>
      </c>
      <c r="C675" s="4694">
        <v>600</v>
      </c>
      <c r="D675" s="4705" t="s">
        <v>547</v>
      </c>
      <c r="E675" s="1253" t="s">
        <v>435</v>
      </c>
      <c r="F675" s="1252">
        <f>SUM(F676,F683)</f>
        <v>4371423</v>
      </c>
      <c r="G675" s="1252">
        <f>SUM(G676,G683)</f>
        <v>1505713</v>
      </c>
      <c r="H675" s="1252">
        <f>SUM(H676,H683)</f>
        <v>2865710</v>
      </c>
      <c r="I675" s="1252">
        <f>SUM(I676,I683)</f>
        <v>0</v>
      </c>
      <c r="J675" s="1251">
        <f>SUM(J676,J683)</f>
        <v>0</v>
      </c>
      <c r="K675" s="1255"/>
      <c r="L675" s="1254"/>
    </row>
    <row r="676" spans="1:17" s="1240" customFormat="1" ht="15" customHeight="1">
      <c r="A676" s="4692"/>
      <c r="B676" s="4693"/>
      <c r="C676" s="4694"/>
      <c r="D676" s="4705"/>
      <c r="E676" s="1250" t="s">
        <v>541</v>
      </c>
      <c r="F676" s="1238">
        <f>SUM(F677,F680)</f>
        <v>0</v>
      </c>
      <c r="G676" s="1238">
        <f>SUM(G677,G680)</f>
        <v>0</v>
      </c>
      <c r="H676" s="1238">
        <f>SUM(H677,H680)</f>
        <v>0</v>
      </c>
      <c r="I676" s="1238">
        <f>SUM(I677,I680)</f>
        <v>0</v>
      </c>
      <c r="J676" s="1237">
        <f>SUM(J677,J680)</f>
        <v>0</v>
      </c>
      <c r="K676" s="1255"/>
      <c r="L676" s="1254"/>
    </row>
    <row r="677" spans="1:17" s="1240" customFormat="1" ht="22.5" hidden="1">
      <c r="A677" s="4692"/>
      <c r="B677" s="4693"/>
      <c r="C677" s="4694"/>
      <c r="D677" s="4705"/>
      <c r="E677" s="1248" t="s">
        <v>432</v>
      </c>
      <c r="F677" s="1247">
        <f>SUM(F678:F679)</f>
        <v>0</v>
      </c>
      <c r="G677" s="1247">
        <f>SUM(G678:G679)</f>
        <v>0</v>
      </c>
      <c r="H677" s="1247">
        <f>SUM(H678:H679)</f>
        <v>0</v>
      </c>
      <c r="I677" s="1247">
        <f>SUM(I678:I679)</f>
        <v>0</v>
      </c>
      <c r="J677" s="1246">
        <f>SUM(J678:J679)</f>
        <v>0</v>
      </c>
      <c r="K677" s="1255"/>
      <c r="L677" s="1254"/>
    </row>
    <row r="678" spans="1:17" s="1240" customFormat="1" ht="15" hidden="1" customHeight="1">
      <c r="A678" s="4692"/>
      <c r="B678" s="4693"/>
      <c r="C678" s="4694"/>
      <c r="D678" s="4705"/>
      <c r="E678" s="1249"/>
      <c r="F678" s="1244">
        <f>SUM(G678:J678)</f>
        <v>0</v>
      </c>
      <c r="G678" s="1244"/>
      <c r="H678" s="1244"/>
      <c r="I678" s="1244"/>
      <c r="J678" s="1243"/>
      <c r="K678" s="1255"/>
      <c r="L678" s="1254"/>
    </row>
    <row r="679" spans="1:17" s="1240" customFormat="1" ht="15" hidden="1" customHeight="1">
      <c r="A679" s="4692"/>
      <c r="B679" s="4693"/>
      <c r="C679" s="4694"/>
      <c r="D679" s="4705"/>
      <c r="E679" s="1249"/>
      <c r="F679" s="1244">
        <f>SUM(G679:J679)</f>
        <v>0</v>
      </c>
      <c r="G679" s="1244"/>
      <c r="H679" s="1244"/>
      <c r="I679" s="1244"/>
      <c r="J679" s="1243"/>
      <c r="K679" s="1255"/>
      <c r="L679" s="1254"/>
    </row>
    <row r="680" spans="1:17" s="1240" customFormat="1" ht="22.5" hidden="1">
      <c r="A680" s="4692"/>
      <c r="B680" s="4693"/>
      <c r="C680" s="4694"/>
      <c r="D680" s="4705"/>
      <c r="E680" s="1248" t="s">
        <v>427</v>
      </c>
      <c r="F680" s="1247">
        <f>SUM(F681:F682)</f>
        <v>0</v>
      </c>
      <c r="G680" s="1247">
        <f>SUM(G681:G682)</f>
        <v>0</v>
      </c>
      <c r="H680" s="1247">
        <f>SUM(H681:H682)</f>
        <v>0</v>
      </c>
      <c r="I680" s="1247">
        <f>SUM(I681:I682)</f>
        <v>0</v>
      </c>
      <c r="J680" s="1246">
        <f>SUM(J681:J682)</f>
        <v>0</v>
      </c>
      <c r="K680" s="1255"/>
      <c r="L680" s="1254"/>
    </row>
    <row r="681" spans="1:17" s="1240" customFormat="1" ht="15" hidden="1" customHeight="1">
      <c r="A681" s="4692"/>
      <c r="B681" s="4693"/>
      <c r="C681" s="4694"/>
      <c r="D681" s="4705"/>
      <c r="E681" s="1249"/>
      <c r="F681" s="1244">
        <f>SUM(G681:J681)</f>
        <v>0</v>
      </c>
      <c r="G681" s="1244"/>
      <c r="H681" s="1244"/>
      <c r="I681" s="1244"/>
      <c r="J681" s="1243"/>
      <c r="K681" s="1255"/>
      <c r="L681" s="1254"/>
    </row>
    <row r="682" spans="1:17" s="1240" customFormat="1" ht="15" hidden="1" customHeight="1">
      <c r="A682" s="4692"/>
      <c r="B682" s="4693"/>
      <c r="C682" s="4694"/>
      <c r="D682" s="4705"/>
      <c r="E682" s="1249"/>
      <c r="F682" s="1244">
        <f>SUM(G682:J682)</f>
        <v>0</v>
      </c>
      <c r="G682" s="1244"/>
      <c r="H682" s="1244"/>
      <c r="I682" s="1244"/>
      <c r="J682" s="1243"/>
      <c r="K682" s="1255"/>
      <c r="L682" s="1254"/>
    </row>
    <row r="683" spans="1:17" s="1240" customFormat="1" ht="15" customHeight="1">
      <c r="A683" s="4692"/>
      <c r="B683" s="4693"/>
      <c r="C683" s="4694"/>
      <c r="D683" s="4705"/>
      <c r="E683" s="1239" t="s">
        <v>423</v>
      </c>
      <c r="F683" s="1238">
        <f>SUM(F684:F689)</f>
        <v>4371423</v>
      </c>
      <c r="G683" s="1238">
        <f>SUM(G684:G689)</f>
        <v>1505713</v>
      </c>
      <c r="H683" s="1238">
        <f>SUM(H684:H689)</f>
        <v>2865710</v>
      </c>
      <c r="I683" s="1238">
        <f>SUM(I684:I689)</f>
        <v>0</v>
      </c>
      <c r="J683" s="1237">
        <f>SUM(J684:J689)</f>
        <v>0</v>
      </c>
      <c r="K683" s="1255"/>
      <c r="L683" s="1254"/>
    </row>
    <row r="684" spans="1:17" s="1240" customFormat="1" ht="15" customHeight="1">
      <c r="A684" s="4692"/>
      <c r="B684" s="4693"/>
      <c r="C684" s="4694"/>
      <c r="D684" s="4705"/>
      <c r="E684" s="1249" t="s">
        <v>546</v>
      </c>
      <c r="F684" s="1244">
        <f t="shared" ref="F684:F689" si="34">SUM(G684:J684)</f>
        <v>1000000</v>
      </c>
      <c r="G684" s="1244">
        <v>1000000</v>
      </c>
      <c r="H684" s="1244"/>
      <c r="I684" s="1244"/>
      <c r="J684" s="1243"/>
      <c r="K684" s="1255"/>
      <c r="L684" s="1254"/>
    </row>
    <row r="685" spans="1:17" s="1240" customFormat="1" ht="15" customHeight="1">
      <c r="A685" s="4692"/>
      <c r="B685" s="4693"/>
      <c r="C685" s="4694"/>
      <c r="D685" s="4705"/>
      <c r="E685" s="1249" t="s">
        <v>506</v>
      </c>
      <c r="F685" s="1244">
        <f t="shared" si="34"/>
        <v>2865710</v>
      </c>
      <c r="G685" s="1244"/>
      <c r="H685" s="1244">
        <v>2865710</v>
      </c>
      <c r="I685" s="1244"/>
      <c r="J685" s="1243"/>
      <c r="K685" s="1255"/>
      <c r="L685" s="1254"/>
    </row>
    <row r="686" spans="1:17" s="1240" customFormat="1" ht="15" customHeight="1">
      <c r="A686" s="4692"/>
      <c r="B686" s="4693"/>
      <c r="C686" s="4694"/>
      <c r="D686" s="4705"/>
      <c r="E686" s="1249" t="s">
        <v>505</v>
      </c>
      <c r="F686" s="1244">
        <f t="shared" si="34"/>
        <v>505713</v>
      </c>
      <c r="G686" s="1244">
        <v>505713</v>
      </c>
      <c r="H686" s="1244"/>
      <c r="I686" s="1244"/>
      <c r="J686" s="1243"/>
      <c r="K686" s="1255"/>
      <c r="L686" s="1254"/>
    </row>
    <row r="687" spans="1:17" s="1240" customFormat="1" ht="15" hidden="1" customHeight="1">
      <c r="A687" s="4692"/>
      <c r="B687" s="4693"/>
      <c r="C687" s="4694"/>
      <c r="D687" s="4705"/>
      <c r="E687" s="1249" t="s">
        <v>553</v>
      </c>
      <c r="F687" s="1244">
        <f t="shared" si="34"/>
        <v>0</v>
      </c>
      <c r="G687" s="1244"/>
      <c r="H687" s="1244"/>
      <c r="I687" s="1244"/>
      <c r="J687" s="1243"/>
      <c r="K687" s="1255"/>
      <c r="L687" s="1254"/>
    </row>
    <row r="688" spans="1:17" s="1240" customFormat="1" ht="15" hidden="1" customHeight="1">
      <c r="A688" s="4692"/>
      <c r="B688" s="4693"/>
      <c r="C688" s="4694"/>
      <c r="D688" s="4705"/>
      <c r="E688" s="1249" t="s">
        <v>504</v>
      </c>
      <c r="F688" s="1244">
        <f t="shared" si="34"/>
        <v>0</v>
      </c>
      <c r="G688" s="1244"/>
      <c r="H688" s="1244"/>
      <c r="I688" s="1244"/>
      <c r="J688" s="1243"/>
      <c r="K688" s="1255"/>
      <c r="L688" s="1254"/>
    </row>
    <row r="689" spans="1:12" s="1240" customFormat="1" ht="15" hidden="1" customHeight="1">
      <c r="A689" s="4692"/>
      <c r="B689" s="4693"/>
      <c r="C689" s="4694"/>
      <c r="D689" s="4705"/>
      <c r="E689" s="1281">
        <v>6069</v>
      </c>
      <c r="F689" s="1244">
        <f t="shared" si="34"/>
        <v>0</v>
      </c>
      <c r="G689" s="1244"/>
      <c r="H689" s="1244"/>
      <c r="I689" s="1244"/>
      <c r="J689" s="1243"/>
      <c r="K689" s="1255"/>
      <c r="L689" s="1254"/>
    </row>
    <row r="690" spans="1:12" s="1240" customFormat="1" ht="22.5">
      <c r="A690" s="4692" t="s">
        <v>442</v>
      </c>
      <c r="B690" s="4693" t="s">
        <v>555</v>
      </c>
      <c r="C690" s="4694">
        <v>600</v>
      </c>
      <c r="D690" s="4705" t="s">
        <v>547</v>
      </c>
      <c r="E690" s="1253" t="s">
        <v>435</v>
      </c>
      <c r="F690" s="1252">
        <f>SUM(F691,F698)</f>
        <v>27059605</v>
      </c>
      <c r="G690" s="1252">
        <f>SUM(G691,G698)</f>
        <v>26572452</v>
      </c>
      <c r="H690" s="1252">
        <f>SUM(H691,H698)</f>
        <v>487153</v>
      </c>
      <c r="I690" s="1252">
        <f>SUM(I691,I698)</f>
        <v>0</v>
      </c>
      <c r="J690" s="1251">
        <f>SUM(J691,J698)</f>
        <v>0</v>
      </c>
      <c r="K690" s="1255"/>
      <c r="L690" s="1254"/>
    </row>
    <row r="691" spans="1:12" s="1240" customFormat="1" ht="15" customHeight="1">
      <c r="A691" s="4692"/>
      <c r="B691" s="4693"/>
      <c r="C691" s="4694"/>
      <c r="D691" s="4705"/>
      <c r="E691" s="1250" t="s">
        <v>541</v>
      </c>
      <c r="F691" s="1238">
        <f>SUM(F692,F695)</f>
        <v>0</v>
      </c>
      <c r="G691" s="1238">
        <f>SUM(G692,G695)</f>
        <v>0</v>
      </c>
      <c r="H691" s="1238">
        <f>SUM(H692,H695)</f>
        <v>0</v>
      </c>
      <c r="I691" s="1238">
        <f>SUM(I692,I695)</f>
        <v>0</v>
      </c>
      <c r="J691" s="1237">
        <f>SUM(J692,J695)</f>
        <v>0</v>
      </c>
      <c r="K691" s="1255"/>
      <c r="L691" s="1254"/>
    </row>
    <row r="692" spans="1:12" s="1240" customFormat="1" ht="22.5" hidden="1">
      <c r="A692" s="4692"/>
      <c r="B692" s="4693"/>
      <c r="C692" s="4694"/>
      <c r="D692" s="4705"/>
      <c r="E692" s="1248" t="s">
        <v>432</v>
      </c>
      <c r="F692" s="1247">
        <f>SUM(F693:F694)</f>
        <v>0</v>
      </c>
      <c r="G692" s="1247">
        <f>SUM(G693:G694)</f>
        <v>0</v>
      </c>
      <c r="H692" s="1247">
        <f>SUM(H693:H694)</f>
        <v>0</v>
      </c>
      <c r="I692" s="1247">
        <f>SUM(I693:I694)</f>
        <v>0</v>
      </c>
      <c r="J692" s="1246">
        <f>SUM(J693:J694)</f>
        <v>0</v>
      </c>
      <c r="K692" s="1255"/>
      <c r="L692" s="1254"/>
    </row>
    <row r="693" spans="1:12" s="1240" customFormat="1" ht="15" hidden="1" customHeight="1">
      <c r="A693" s="4692"/>
      <c r="B693" s="4693"/>
      <c r="C693" s="4694"/>
      <c r="D693" s="4705"/>
      <c r="E693" s="1249"/>
      <c r="F693" s="1244">
        <f>SUM(G693:J693)</f>
        <v>0</v>
      </c>
      <c r="G693" s="1244"/>
      <c r="H693" s="1244"/>
      <c r="I693" s="1244"/>
      <c r="J693" s="1243"/>
      <c r="K693" s="1255"/>
      <c r="L693" s="1254"/>
    </row>
    <row r="694" spans="1:12" s="1240" customFormat="1" ht="15" hidden="1" customHeight="1">
      <c r="A694" s="4692"/>
      <c r="B694" s="4693"/>
      <c r="C694" s="4694"/>
      <c r="D694" s="4705"/>
      <c r="E694" s="1249"/>
      <c r="F694" s="1244">
        <f>SUM(G694:J694)</f>
        <v>0</v>
      </c>
      <c r="G694" s="1244"/>
      <c r="H694" s="1244"/>
      <c r="I694" s="1244"/>
      <c r="J694" s="1243"/>
      <c r="K694" s="1255"/>
      <c r="L694" s="1254"/>
    </row>
    <row r="695" spans="1:12" s="1240" customFormat="1" ht="22.5" hidden="1">
      <c r="A695" s="4692"/>
      <c r="B695" s="4693"/>
      <c r="C695" s="4694"/>
      <c r="D695" s="4705"/>
      <c r="E695" s="1248" t="s">
        <v>427</v>
      </c>
      <c r="F695" s="1247">
        <f>SUM(F696:F697)</f>
        <v>0</v>
      </c>
      <c r="G695" s="1247">
        <f>SUM(G696:G697)</f>
        <v>0</v>
      </c>
      <c r="H695" s="1247">
        <f>SUM(H696:H697)</f>
        <v>0</v>
      </c>
      <c r="I695" s="1247">
        <f>SUM(I696:I697)</f>
        <v>0</v>
      </c>
      <c r="J695" s="1246">
        <f>SUM(J696:J697)</f>
        <v>0</v>
      </c>
      <c r="K695" s="1255"/>
      <c r="L695" s="1254"/>
    </row>
    <row r="696" spans="1:12" s="1240" customFormat="1" ht="15" hidden="1" customHeight="1">
      <c r="A696" s="4692"/>
      <c r="B696" s="4693"/>
      <c r="C696" s="4694"/>
      <c r="D696" s="4705"/>
      <c r="E696" s="1249"/>
      <c r="F696" s="1244">
        <f>SUM(G696:J696)</f>
        <v>0</v>
      </c>
      <c r="G696" s="1244"/>
      <c r="H696" s="1244"/>
      <c r="I696" s="1244"/>
      <c r="J696" s="1243"/>
      <c r="K696" s="1255"/>
      <c r="L696" s="1254"/>
    </row>
    <row r="697" spans="1:12" s="1240" customFormat="1" ht="15" hidden="1" customHeight="1">
      <c r="A697" s="4692"/>
      <c r="B697" s="4693"/>
      <c r="C697" s="4694"/>
      <c r="D697" s="4705"/>
      <c r="E697" s="1249"/>
      <c r="F697" s="1244">
        <f>SUM(G697:J697)</f>
        <v>0</v>
      </c>
      <c r="G697" s="1244"/>
      <c r="H697" s="1244"/>
      <c r="I697" s="1244"/>
      <c r="J697" s="1243"/>
      <c r="K697" s="1255"/>
      <c r="L697" s="1254"/>
    </row>
    <row r="698" spans="1:12" s="1240" customFormat="1" ht="15" customHeight="1">
      <c r="A698" s="4692"/>
      <c r="B698" s="4693"/>
      <c r="C698" s="4694"/>
      <c r="D698" s="4705"/>
      <c r="E698" s="1239" t="s">
        <v>423</v>
      </c>
      <c r="F698" s="1238">
        <f>SUM(F699:F704)</f>
        <v>27059605</v>
      </c>
      <c r="G698" s="1238">
        <f>SUM(G699:G704)</f>
        <v>26572452</v>
      </c>
      <c r="H698" s="1238">
        <f>SUM(H699:H704)</f>
        <v>487153</v>
      </c>
      <c r="I698" s="1238">
        <f>SUM(I699:I704)</f>
        <v>0</v>
      </c>
      <c r="J698" s="1237">
        <f>SUM(J699:J704)</f>
        <v>0</v>
      </c>
      <c r="K698" s="1255"/>
      <c r="L698" s="1254"/>
    </row>
    <row r="699" spans="1:12" s="1240" customFormat="1" ht="15" customHeight="1">
      <c r="A699" s="4692"/>
      <c r="B699" s="4693"/>
      <c r="C699" s="4694"/>
      <c r="D699" s="4705"/>
      <c r="E699" s="1249" t="s">
        <v>546</v>
      </c>
      <c r="F699" s="1244">
        <f t="shared" ref="F699:F704" si="35">SUM(G699:J699)</f>
        <v>26486483</v>
      </c>
      <c r="G699" s="1244">
        <v>26486483</v>
      </c>
      <c r="H699" s="1244"/>
      <c r="I699" s="1244"/>
      <c r="J699" s="1243"/>
      <c r="K699" s="1255"/>
      <c r="L699" s="1254"/>
    </row>
    <row r="700" spans="1:12" s="1240" customFormat="1" ht="15" customHeight="1">
      <c r="A700" s="4692"/>
      <c r="B700" s="4693"/>
      <c r="C700" s="4694"/>
      <c r="D700" s="4705"/>
      <c r="E700" s="1249" t="s">
        <v>506</v>
      </c>
      <c r="F700" s="1244">
        <f t="shared" si="35"/>
        <v>487153</v>
      </c>
      <c r="G700" s="1244"/>
      <c r="H700" s="1244">
        <v>487153</v>
      </c>
      <c r="I700" s="1244"/>
      <c r="J700" s="1243"/>
      <c r="K700" s="1255"/>
      <c r="L700" s="1254"/>
    </row>
    <row r="701" spans="1:12" s="1240" customFormat="1" ht="15" customHeight="1">
      <c r="A701" s="4692"/>
      <c r="B701" s="4693"/>
      <c r="C701" s="4694"/>
      <c r="D701" s="4705"/>
      <c r="E701" s="1249" t="s">
        <v>505</v>
      </c>
      <c r="F701" s="1244">
        <f t="shared" si="35"/>
        <v>85969</v>
      </c>
      <c r="G701" s="1244">
        <v>85969</v>
      </c>
      <c r="H701" s="1244"/>
      <c r="I701" s="1244"/>
      <c r="J701" s="1243"/>
      <c r="K701" s="1255"/>
      <c r="L701" s="1254"/>
    </row>
    <row r="702" spans="1:12" s="1240" customFormat="1" ht="15" hidden="1" customHeight="1">
      <c r="A702" s="4692"/>
      <c r="B702" s="4693"/>
      <c r="C702" s="4694"/>
      <c r="D702" s="4705"/>
      <c r="E702" s="1249" t="s">
        <v>553</v>
      </c>
      <c r="F702" s="1244">
        <f t="shared" si="35"/>
        <v>0</v>
      </c>
      <c r="G702" s="1244"/>
      <c r="H702" s="1244"/>
      <c r="I702" s="1244"/>
      <c r="J702" s="1243"/>
      <c r="K702" s="1255"/>
      <c r="L702" s="1254"/>
    </row>
    <row r="703" spans="1:12" s="1240" customFormat="1" ht="15" hidden="1" customHeight="1">
      <c r="A703" s="4692"/>
      <c r="B703" s="4693"/>
      <c r="C703" s="4694"/>
      <c r="D703" s="4705"/>
      <c r="E703" s="1249" t="s">
        <v>504</v>
      </c>
      <c r="F703" s="1244">
        <f t="shared" si="35"/>
        <v>0</v>
      </c>
      <c r="G703" s="1244"/>
      <c r="H703" s="1244"/>
      <c r="I703" s="1244"/>
      <c r="J703" s="1243"/>
      <c r="K703" s="1255"/>
      <c r="L703" s="1254"/>
    </row>
    <row r="704" spans="1:12" s="1240" customFormat="1" ht="15" hidden="1" customHeight="1">
      <c r="A704" s="4692"/>
      <c r="B704" s="4693"/>
      <c r="C704" s="4694"/>
      <c r="D704" s="4705"/>
      <c r="E704" s="1281">
        <v>6069</v>
      </c>
      <c r="F704" s="1244">
        <f t="shared" si="35"/>
        <v>0</v>
      </c>
      <c r="G704" s="1244"/>
      <c r="H704" s="1244"/>
      <c r="I704" s="1244"/>
      <c r="J704" s="1243"/>
      <c r="K704" s="1255"/>
      <c r="L704" s="1254"/>
    </row>
    <row r="705" spans="1:12" s="1240" customFormat="1" ht="22.5" hidden="1">
      <c r="A705" s="4669"/>
      <c r="B705" s="4672" t="s">
        <v>554</v>
      </c>
      <c r="C705" s="4675">
        <v>600</v>
      </c>
      <c r="D705" s="4678" t="s">
        <v>547</v>
      </c>
      <c r="E705" s="1269" t="s">
        <v>435</v>
      </c>
      <c r="F705" s="1268">
        <f>SUM(F706,F713)</f>
        <v>0</v>
      </c>
      <c r="G705" s="1268">
        <f>SUM(G706,G713)</f>
        <v>0</v>
      </c>
      <c r="H705" s="1268">
        <f>SUM(H706,H713)</f>
        <v>0</v>
      </c>
      <c r="I705" s="1268">
        <f>SUM(I706,I713)</f>
        <v>0</v>
      </c>
      <c r="J705" s="1267">
        <f>SUM(J706,J713)</f>
        <v>0</v>
      </c>
      <c r="K705" s="1255"/>
      <c r="L705" s="1254"/>
    </row>
    <row r="706" spans="1:12" s="1240" customFormat="1" ht="15" hidden="1" customHeight="1">
      <c r="A706" s="4670"/>
      <c r="B706" s="4673"/>
      <c r="C706" s="4676"/>
      <c r="D706" s="4679"/>
      <c r="E706" s="1266" t="s">
        <v>541</v>
      </c>
      <c r="F706" s="1261">
        <f>SUM(F707,F710)</f>
        <v>0</v>
      </c>
      <c r="G706" s="1261">
        <f>SUM(G707,G710)</f>
        <v>0</v>
      </c>
      <c r="H706" s="1261">
        <f>SUM(H707,H710)</f>
        <v>0</v>
      </c>
      <c r="I706" s="1261">
        <f>SUM(I707,I710)</f>
        <v>0</v>
      </c>
      <c r="J706" s="1260">
        <f>SUM(J707,J710)</f>
        <v>0</v>
      </c>
      <c r="K706" s="1255"/>
      <c r="L706" s="1254"/>
    </row>
    <row r="707" spans="1:12" s="1240" customFormat="1" ht="22.5" hidden="1">
      <c r="A707" s="4670"/>
      <c r="B707" s="4673"/>
      <c r="C707" s="4676"/>
      <c r="D707" s="4679"/>
      <c r="E707" s="1265" t="s">
        <v>432</v>
      </c>
      <c r="F707" s="1264">
        <f>SUM(F708:F709)</f>
        <v>0</v>
      </c>
      <c r="G707" s="1264">
        <f>SUM(G708:G709)</f>
        <v>0</v>
      </c>
      <c r="H707" s="1264">
        <f>SUM(H708:H709)</f>
        <v>0</v>
      </c>
      <c r="I707" s="1264">
        <f>SUM(I708:I709)</f>
        <v>0</v>
      </c>
      <c r="J707" s="1263">
        <f>SUM(J708:J709)</f>
        <v>0</v>
      </c>
      <c r="K707" s="1255"/>
      <c r="L707" s="1254"/>
    </row>
    <row r="708" spans="1:12" s="1240" customFormat="1" ht="15" hidden="1" customHeight="1">
      <c r="A708" s="4670"/>
      <c r="B708" s="4673"/>
      <c r="C708" s="4676"/>
      <c r="D708" s="4679"/>
      <c r="E708" s="1236"/>
      <c r="F708" s="1230">
        <f>SUM(G708:J708)</f>
        <v>0</v>
      </c>
      <c r="G708" s="1230"/>
      <c r="H708" s="1230"/>
      <c r="I708" s="1230"/>
      <c r="J708" s="1229"/>
      <c r="K708" s="1255"/>
      <c r="L708" s="1254"/>
    </row>
    <row r="709" spans="1:12" s="1240" customFormat="1" ht="15" hidden="1" customHeight="1">
      <c r="A709" s="4670"/>
      <c r="B709" s="4673"/>
      <c r="C709" s="4676"/>
      <c r="D709" s="4679"/>
      <c r="E709" s="1236"/>
      <c r="F709" s="1230">
        <f>SUM(G709:J709)</f>
        <v>0</v>
      </c>
      <c r="G709" s="1230"/>
      <c r="H709" s="1230"/>
      <c r="I709" s="1230"/>
      <c r="J709" s="1229"/>
      <c r="K709" s="1255"/>
      <c r="L709" s="1254"/>
    </row>
    <row r="710" spans="1:12" s="1240" customFormat="1" ht="22.5" hidden="1">
      <c r="A710" s="4670"/>
      <c r="B710" s="4673"/>
      <c r="C710" s="4676"/>
      <c r="D710" s="4679"/>
      <c r="E710" s="1265" t="s">
        <v>427</v>
      </c>
      <c r="F710" s="1264">
        <f>SUM(F711:F712)</f>
        <v>0</v>
      </c>
      <c r="G710" s="1264">
        <f>SUM(G711:G712)</f>
        <v>0</v>
      </c>
      <c r="H710" s="1264">
        <f>SUM(H711:H712)</f>
        <v>0</v>
      </c>
      <c r="I710" s="1264">
        <f>SUM(I711:I712)</f>
        <v>0</v>
      </c>
      <c r="J710" s="1263">
        <f>SUM(J711:J712)</f>
        <v>0</v>
      </c>
      <c r="K710" s="1255"/>
      <c r="L710" s="1254"/>
    </row>
    <row r="711" spans="1:12" s="1240" customFormat="1" ht="15" hidden="1" customHeight="1">
      <c r="A711" s="4670"/>
      <c r="B711" s="4673"/>
      <c r="C711" s="4676"/>
      <c r="D711" s="4679"/>
      <c r="E711" s="1236"/>
      <c r="F711" s="1230">
        <f>SUM(G711:J711)</f>
        <v>0</v>
      </c>
      <c r="G711" s="1230"/>
      <c r="H711" s="1230"/>
      <c r="I711" s="1230"/>
      <c r="J711" s="1229"/>
      <c r="K711" s="1255"/>
      <c r="L711" s="1254"/>
    </row>
    <row r="712" spans="1:12" s="1240" customFormat="1" ht="15" hidden="1" customHeight="1">
      <c r="A712" s="4670"/>
      <c r="B712" s="4673"/>
      <c r="C712" s="4676"/>
      <c r="D712" s="4679"/>
      <c r="E712" s="1236"/>
      <c r="F712" s="1230">
        <f>SUM(G712:J712)</f>
        <v>0</v>
      </c>
      <c r="G712" s="1230"/>
      <c r="H712" s="1230"/>
      <c r="I712" s="1230"/>
      <c r="J712" s="1229"/>
      <c r="K712" s="1255"/>
      <c r="L712" s="1254"/>
    </row>
    <row r="713" spans="1:12" s="1240" customFormat="1" ht="15" hidden="1" customHeight="1">
      <c r="A713" s="4670"/>
      <c r="B713" s="4673"/>
      <c r="C713" s="4676"/>
      <c r="D713" s="4679"/>
      <c r="E713" s="1262" t="s">
        <v>423</v>
      </c>
      <c r="F713" s="1261">
        <f>SUM(F714:F719)</f>
        <v>0</v>
      </c>
      <c r="G713" s="1261">
        <f>SUM(G714:G719)</f>
        <v>0</v>
      </c>
      <c r="H713" s="1261">
        <f>SUM(H714:H719)</f>
        <v>0</v>
      </c>
      <c r="I713" s="1261">
        <f>SUM(I714:I719)</f>
        <v>0</v>
      </c>
      <c r="J713" s="1260">
        <f>SUM(J714:J719)</f>
        <v>0</v>
      </c>
      <c r="K713" s="1255"/>
      <c r="L713" s="1254"/>
    </row>
    <row r="714" spans="1:12" s="1240" customFormat="1" ht="15" hidden="1" customHeight="1">
      <c r="A714" s="4670"/>
      <c r="B714" s="4673"/>
      <c r="C714" s="4676"/>
      <c r="D714" s="4679"/>
      <c r="E714" s="1236" t="s">
        <v>546</v>
      </c>
      <c r="F714" s="1230">
        <f t="shared" ref="F714:F719" si="36">SUM(G714:J714)</f>
        <v>0</v>
      </c>
      <c r="G714" s="1230"/>
      <c r="H714" s="1230"/>
      <c r="I714" s="1230"/>
      <c r="J714" s="1229"/>
      <c r="K714" s="1255"/>
      <c r="L714" s="1254"/>
    </row>
    <row r="715" spans="1:12" s="1240" customFormat="1" ht="15" hidden="1" customHeight="1">
      <c r="A715" s="4670"/>
      <c r="B715" s="4673"/>
      <c r="C715" s="4676"/>
      <c r="D715" s="4679"/>
      <c r="E715" s="1236" t="s">
        <v>506</v>
      </c>
      <c r="F715" s="1230">
        <f t="shared" si="36"/>
        <v>0</v>
      </c>
      <c r="G715" s="1230"/>
      <c r="H715" s="1230"/>
      <c r="I715" s="1230"/>
      <c r="J715" s="1229"/>
      <c r="K715" s="1255"/>
      <c r="L715" s="1254"/>
    </row>
    <row r="716" spans="1:12" s="1240" customFormat="1" ht="15" hidden="1" customHeight="1">
      <c r="A716" s="4670"/>
      <c r="B716" s="4673"/>
      <c r="C716" s="4676"/>
      <c r="D716" s="4679"/>
      <c r="E716" s="1236" t="s">
        <v>505</v>
      </c>
      <c r="F716" s="1230">
        <f t="shared" si="36"/>
        <v>0</v>
      </c>
      <c r="G716" s="1230"/>
      <c r="H716" s="1230"/>
      <c r="I716" s="1230"/>
      <c r="J716" s="1229"/>
      <c r="K716" s="1255"/>
      <c r="L716" s="1254"/>
    </row>
    <row r="717" spans="1:12" s="1240" customFormat="1" ht="15" hidden="1" customHeight="1">
      <c r="A717" s="4670"/>
      <c r="B717" s="4673"/>
      <c r="C717" s="4676"/>
      <c r="D717" s="4679"/>
      <c r="E717" s="1236" t="s">
        <v>553</v>
      </c>
      <c r="F717" s="1230">
        <f t="shared" si="36"/>
        <v>0</v>
      </c>
      <c r="G717" s="1230"/>
      <c r="H717" s="1230"/>
      <c r="I717" s="1230"/>
      <c r="J717" s="1229"/>
      <c r="K717" s="1255"/>
      <c r="L717" s="1254"/>
    </row>
    <row r="718" spans="1:12" s="1240" customFormat="1" ht="15" hidden="1" customHeight="1">
      <c r="A718" s="4670"/>
      <c r="B718" s="4673"/>
      <c r="C718" s="4676"/>
      <c r="D718" s="4679"/>
      <c r="E718" s="1236" t="s">
        <v>504</v>
      </c>
      <c r="F718" s="1230">
        <f t="shared" si="36"/>
        <v>0</v>
      </c>
      <c r="G718" s="1230"/>
      <c r="H718" s="1230"/>
      <c r="I718" s="1230"/>
      <c r="J718" s="1229"/>
      <c r="K718" s="1255"/>
      <c r="L718" s="1254"/>
    </row>
    <row r="719" spans="1:12" s="1240" customFormat="1" ht="15" hidden="1" customHeight="1">
      <c r="A719" s="4671"/>
      <c r="B719" s="4674"/>
      <c r="C719" s="4677"/>
      <c r="D719" s="4680"/>
      <c r="E719" s="1231">
        <v>6069</v>
      </c>
      <c r="F719" s="1230">
        <f t="shared" si="36"/>
        <v>0</v>
      </c>
      <c r="G719" s="1230"/>
      <c r="H719" s="1230"/>
      <c r="I719" s="1230"/>
      <c r="J719" s="1229"/>
      <c r="K719" s="1255"/>
      <c r="L719" s="1254"/>
    </row>
    <row r="720" spans="1:12" s="1240" customFormat="1" ht="22.5">
      <c r="A720" s="4692" t="s">
        <v>438</v>
      </c>
      <c r="B720" s="4693" t="s">
        <v>552</v>
      </c>
      <c r="C720" s="4694">
        <v>600</v>
      </c>
      <c r="D720" s="4705" t="s">
        <v>547</v>
      </c>
      <c r="E720" s="1253" t="s">
        <v>435</v>
      </c>
      <c r="F720" s="1252">
        <f>SUM(F721,F728)</f>
        <v>23989948</v>
      </c>
      <c r="G720" s="1252">
        <f>SUM(G721,G728)</f>
        <v>4776420</v>
      </c>
      <c r="H720" s="1252">
        <f>SUM(H721,H728)</f>
        <v>18566375</v>
      </c>
      <c r="I720" s="1252">
        <f>SUM(I721,I728)</f>
        <v>0</v>
      </c>
      <c r="J720" s="1251">
        <f>SUM(J721,J728)</f>
        <v>647153</v>
      </c>
      <c r="K720" s="1255"/>
      <c r="L720" s="1254"/>
    </row>
    <row r="721" spans="1:12" s="1240" customFormat="1" ht="15" customHeight="1">
      <c r="A721" s="4692"/>
      <c r="B721" s="4693"/>
      <c r="C721" s="4694"/>
      <c r="D721" s="4705"/>
      <c r="E721" s="1250" t="s">
        <v>541</v>
      </c>
      <c r="F721" s="1238">
        <f>SUM(F722,F725)</f>
        <v>0</v>
      </c>
      <c r="G721" s="1238">
        <f>SUM(G722,G725)</f>
        <v>0</v>
      </c>
      <c r="H721" s="1238">
        <f>SUM(H722,H725)</f>
        <v>0</v>
      </c>
      <c r="I721" s="1238">
        <f>SUM(I722,I725)</f>
        <v>0</v>
      </c>
      <c r="J721" s="1237">
        <f>SUM(J722,J725)</f>
        <v>0</v>
      </c>
      <c r="K721" s="1255"/>
      <c r="L721" s="1254"/>
    </row>
    <row r="722" spans="1:12" s="1240" customFormat="1" ht="22.5" hidden="1">
      <c r="A722" s="4692"/>
      <c r="B722" s="4693"/>
      <c r="C722" s="4694"/>
      <c r="D722" s="4705"/>
      <c r="E722" s="1248" t="s">
        <v>432</v>
      </c>
      <c r="F722" s="1247">
        <f>SUM(F723:F724)</f>
        <v>0</v>
      </c>
      <c r="G722" s="1247">
        <f>SUM(G723:G724)</f>
        <v>0</v>
      </c>
      <c r="H722" s="1247">
        <f>SUM(H723:H724)</f>
        <v>0</v>
      </c>
      <c r="I722" s="1247">
        <f>SUM(I723:I724)</f>
        <v>0</v>
      </c>
      <c r="J722" s="1246">
        <f>SUM(J723:J724)</f>
        <v>0</v>
      </c>
      <c r="K722" s="1255"/>
      <c r="L722" s="1254"/>
    </row>
    <row r="723" spans="1:12" s="1240" customFormat="1" ht="15" hidden="1" customHeight="1">
      <c r="A723" s="4692"/>
      <c r="B723" s="4693"/>
      <c r="C723" s="4694"/>
      <c r="D723" s="4705"/>
      <c r="E723" s="1249"/>
      <c r="F723" s="1244">
        <f>SUM(G723:J723)</f>
        <v>0</v>
      </c>
      <c r="G723" s="1244"/>
      <c r="H723" s="1244"/>
      <c r="I723" s="1244"/>
      <c r="J723" s="1243"/>
      <c r="K723" s="1255"/>
      <c r="L723" s="1254"/>
    </row>
    <row r="724" spans="1:12" s="1240" customFormat="1" ht="15" hidden="1" customHeight="1">
      <c r="A724" s="4692"/>
      <c r="B724" s="4693"/>
      <c r="C724" s="4694"/>
      <c r="D724" s="4705"/>
      <c r="E724" s="1249"/>
      <c r="F724" s="1244">
        <f>SUM(G724:J724)</f>
        <v>0</v>
      </c>
      <c r="G724" s="1244"/>
      <c r="H724" s="1244"/>
      <c r="I724" s="1244"/>
      <c r="J724" s="1243"/>
      <c r="K724" s="1255"/>
      <c r="L724" s="1254"/>
    </row>
    <row r="725" spans="1:12" s="1240" customFormat="1" ht="22.5" hidden="1">
      <c r="A725" s="4692"/>
      <c r="B725" s="4693"/>
      <c r="C725" s="4694"/>
      <c r="D725" s="4705"/>
      <c r="E725" s="1248" t="s">
        <v>427</v>
      </c>
      <c r="F725" s="1247">
        <f>SUM(F726:F727)</f>
        <v>0</v>
      </c>
      <c r="G725" s="1247">
        <f>SUM(G726:G727)</f>
        <v>0</v>
      </c>
      <c r="H725" s="1247">
        <f>SUM(H726:H727)</f>
        <v>0</v>
      </c>
      <c r="I725" s="1247">
        <f>SUM(I726:I727)</f>
        <v>0</v>
      </c>
      <c r="J725" s="1246">
        <f>SUM(J726:J727)</f>
        <v>0</v>
      </c>
      <c r="K725" s="1255"/>
      <c r="L725" s="1254"/>
    </row>
    <row r="726" spans="1:12" s="1240" customFormat="1" ht="15" hidden="1" customHeight="1">
      <c r="A726" s="4692"/>
      <c r="B726" s="4693"/>
      <c r="C726" s="4694"/>
      <c r="D726" s="4705"/>
      <c r="E726" s="1249"/>
      <c r="F726" s="1244">
        <f>SUM(G726:J726)</f>
        <v>0</v>
      </c>
      <c r="G726" s="1244"/>
      <c r="H726" s="1244"/>
      <c r="I726" s="1244"/>
      <c r="J726" s="1243"/>
      <c r="K726" s="1255"/>
      <c r="L726" s="1254"/>
    </row>
    <row r="727" spans="1:12" s="1240" customFormat="1" ht="15" hidden="1" customHeight="1">
      <c r="A727" s="4692"/>
      <c r="B727" s="4693"/>
      <c r="C727" s="4694"/>
      <c r="D727" s="4705"/>
      <c r="E727" s="1249"/>
      <c r="F727" s="1244">
        <f>SUM(G727:J727)</f>
        <v>0</v>
      </c>
      <c r="G727" s="1244"/>
      <c r="H727" s="1244"/>
      <c r="I727" s="1244"/>
      <c r="J727" s="1243"/>
      <c r="K727" s="1255"/>
      <c r="L727" s="1254"/>
    </row>
    <row r="728" spans="1:12" s="1240" customFormat="1" ht="15" customHeight="1">
      <c r="A728" s="4692"/>
      <c r="B728" s="4693"/>
      <c r="C728" s="4694"/>
      <c r="D728" s="4705"/>
      <c r="E728" s="1239" t="s">
        <v>423</v>
      </c>
      <c r="F728" s="1238">
        <f>SUM(F729:F734)</f>
        <v>23989948</v>
      </c>
      <c r="G728" s="1238">
        <f>SUM(G729:G734)</f>
        <v>4776420</v>
      </c>
      <c r="H728" s="1238">
        <f>SUM(H729:H734)</f>
        <v>18566375</v>
      </c>
      <c r="I728" s="1238">
        <f>SUM(I729:I734)</f>
        <v>0</v>
      </c>
      <c r="J728" s="1237">
        <f>SUM(J729:J734)</f>
        <v>647153</v>
      </c>
      <c r="K728" s="1255"/>
      <c r="L728" s="1254"/>
    </row>
    <row r="729" spans="1:12" s="1240" customFormat="1" ht="15" customHeight="1">
      <c r="A729" s="4692"/>
      <c r="B729" s="4693"/>
      <c r="C729" s="4694"/>
      <c r="D729" s="4705"/>
      <c r="E729" s="1249" t="s">
        <v>546</v>
      </c>
      <c r="F729" s="1244">
        <f t="shared" ref="F729:F734" si="37">SUM(G729:J729)</f>
        <v>2147153</v>
      </c>
      <c r="G729" s="1244">
        <v>1500000</v>
      </c>
      <c r="H729" s="1244"/>
      <c r="I729" s="1244"/>
      <c r="J729" s="1243">
        <v>647153</v>
      </c>
      <c r="K729" s="1255"/>
      <c r="L729" s="1254"/>
    </row>
    <row r="730" spans="1:12" s="1240" customFormat="1" ht="15" customHeight="1">
      <c r="A730" s="4692"/>
      <c r="B730" s="4693"/>
      <c r="C730" s="4694"/>
      <c r="D730" s="4705"/>
      <c r="E730" s="1281">
        <v>6057</v>
      </c>
      <c r="F730" s="1244">
        <f t="shared" si="37"/>
        <v>18566375</v>
      </c>
      <c r="G730" s="1244"/>
      <c r="H730" s="1244">
        <v>18566375</v>
      </c>
      <c r="I730" s="1244"/>
      <c r="J730" s="1243"/>
      <c r="K730" s="1255"/>
      <c r="L730" s="1254"/>
    </row>
    <row r="731" spans="1:12" s="1240" customFormat="1" ht="15" customHeight="1">
      <c r="A731" s="4692"/>
      <c r="B731" s="4693"/>
      <c r="C731" s="4694"/>
      <c r="D731" s="4705"/>
      <c r="E731" s="1281">
        <v>6059</v>
      </c>
      <c r="F731" s="1244">
        <f t="shared" si="37"/>
        <v>3276420</v>
      </c>
      <c r="G731" s="1244">
        <v>3276420</v>
      </c>
      <c r="H731" s="1244"/>
      <c r="I731" s="1244"/>
      <c r="J731" s="1243"/>
      <c r="K731" s="1255"/>
      <c r="L731" s="1254"/>
    </row>
    <row r="732" spans="1:12" s="1240" customFormat="1" ht="15" hidden="1" customHeight="1">
      <c r="A732" s="4692"/>
      <c r="B732" s="4693"/>
      <c r="C732" s="4694"/>
      <c r="D732" s="4705"/>
      <c r="E732" s="1281">
        <v>6060</v>
      </c>
      <c r="F732" s="1244">
        <f t="shared" si="37"/>
        <v>0</v>
      </c>
      <c r="G732" s="1244"/>
      <c r="H732" s="1244"/>
      <c r="I732" s="1244"/>
      <c r="J732" s="1243"/>
      <c r="K732" s="1255"/>
      <c r="L732" s="1254"/>
    </row>
    <row r="733" spans="1:12" s="1240" customFormat="1" ht="15" hidden="1" customHeight="1">
      <c r="A733" s="4692"/>
      <c r="B733" s="4693"/>
      <c r="C733" s="4694"/>
      <c r="D733" s="4705"/>
      <c r="E733" s="1249" t="s">
        <v>504</v>
      </c>
      <c r="F733" s="1244">
        <f t="shared" si="37"/>
        <v>0</v>
      </c>
      <c r="G733" s="1244"/>
      <c r="H733" s="1244"/>
      <c r="I733" s="1244"/>
      <c r="J733" s="1243"/>
      <c r="K733" s="1255"/>
      <c r="L733" s="1254"/>
    </row>
    <row r="734" spans="1:12" s="1240" customFormat="1" ht="15" hidden="1" customHeight="1">
      <c r="A734" s="4692"/>
      <c r="B734" s="4693"/>
      <c r="C734" s="4694"/>
      <c r="D734" s="4705"/>
      <c r="E734" s="1281">
        <v>6069</v>
      </c>
      <c r="F734" s="1244">
        <f t="shared" si="37"/>
        <v>0</v>
      </c>
      <c r="G734" s="1244"/>
      <c r="H734" s="1244"/>
      <c r="I734" s="1244"/>
      <c r="J734" s="1243"/>
      <c r="K734" s="1255"/>
      <c r="L734" s="1254"/>
    </row>
    <row r="735" spans="1:12" s="1240" customFormat="1" ht="22.5" hidden="1">
      <c r="A735" s="4726"/>
      <c r="B735" s="4727" t="s">
        <v>551</v>
      </c>
      <c r="C735" s="4728">
        <v>600</v>
      </c>
      <c r="D735" s="4729" t="s">
        <v>547</v>
      </c>
      <c r="E735" s="1269" t="s">
        <v>435</v>
      </c>
      <c r="F735" s="1268">
        <f>SUM(F736,F743)</f>
        <v>0</v>
      </c>
      <c r="G735" s="1268">
        <f>SUM(G736,G743)</f>
        <v>0</v>
      </c>
      <c r="H735" s="1268">
        <f>SUM(H736,H743)</f>
        <v>0</v>
      </c>
      <c r="I735" s="1268">
        <f>SUM(I736,I743)</f>
        <v>0</v>
      </c>
      <c r="J735" s="1267">
        <f>SUM(J736,J743)</f>
        <v>0</v>
      </c>
      <c r="K735" s="1255"/>
      <c r="L735" s="1254"/>
    </row>
    <row r="736" spans="1:12" s="1240" customFormat="1" ht="15" hidden="1" customHeight="1">
      <c r="A736" s="4726"/>
      <c r="B736" s="4727"/>
      <c r="C736" s="4728"/>
      <c r="D736" s="4729"/>
      <c r="E736" s="1266" t="s">
        <v>541</v>
      </c>
      <c r="F736" s="1261">
        <f>SUM(F737,F740)</f>
        <v>0</v>
      </c>
      <c r="G736" s="1261">
        <f>SUM(G737,G740)</f>
        <v>0</v>
      </c>
      <c r="H736" s="1261">
        <f>SUM(H737,H740)</f>
        <v>0</v>
      </c>
      <c r="I736" s="1261">
        <f>SUM(I737,I740)</f>
        <v>0</v>
      </c>
      <c r="J736" s="1260">
        <f>SUM(J737,J740)</f>
        <v>0</v>
      </c>
      <c r="K736" s="1255"/>
      <c r="L736" s="1254"/>
    </row>
    <row r="737" spans="1:12" s="1240" customFormat="1" ht="22.5" hidden="1">
      <c r="A737" s="4726"/>
      <c r="B737" s="4727"/>
      <c r="C737" s="4728"/>
      <c r="D737" s="4729"/>
      <c r="E737" s="1265" t="s">
        <v>432</v>
      </c>
      <c r="F737" s="1264">
        <f>SUM(F738:F739)</f>
        <v>0</v>
      </c>
      <c r="G737" s="1264">
        <f>SUM(G738:G739)</f>
        <v>0</v>
      </c>
      <c r="H737" s="1264">
        <f>SUM(H738:H739)</f>
        <v>0</v>
      </c>
      <c r="I737" s="1264">
        <f>SUM(I738:I739)</f>
        <v>0</v>
      </c>
      <c r="J737" s="1263">
        <f>SUM(J738:J739)</f>
        <v>0</v>
      </c>
      <c r="K737" s="1255"/>
      <c r="L737" s="1254"/>
    </row>
    <row r="738" spans="1:12" s="1240" customFormat="1" ht="15" hidden="1" customHeight="1">
      <c r="A738" s="4726"/>
      <c r="B738" s="4727"/>
      <c r="C738" s="4728"/>
      <c r="D738" s="4729"/>
      <c r="E738" s="1236"/>
      <c r="F738" s="1230">
        <f>SUM(G738:J738)</f>
        <v>0</v>
      </c>
      <c r="G738" s="1230"/>
      <c r="H738" s="1230"/>
      <c r="I738" s="1230"/>
      <c r="J738" s="1229"/>
      <c r="K738" s="1255"/>
      <c r="L738" s="1254"/>
    </row>
    <row r="739" spans="1:12" s="1240" customFormat="1" ht="15" hidden="1" customHeight="1">
      <c r="A739" s="4726"/>
      <c r="B739" s="4727"/>
      <c r="C739" s="4728"/>
      <c r="D739" s="4729"/>
      <c r="E739" s="1236"/>
      <c r="F739" s="1230">
        <f>SUM(G739:J739)</f>
        <v>0</v>
      </c>
      <c r="G739" s="1230"/>
      <c r="H739" s="1230"/>
      <c r="I739" s="1230"/>
      <c r="J739" s="1229"/>
      <c r="K739" s="1255"/>
      <c r="L739" s="1254"/>
    </row>
    <row r="740" spans="1:12" s="1240" customFormat="1" ht="22.5" hidden="1">
      <c r="A740" s="4726"/>
      <c r="B740" s="4727"/>
      <c r="C740" s="4728"/>
      <c r="D740" s="4729"/>
      <c r="E740" s="1265" t="s">
        <v>427</v>
      </c>
      <c r="F740" s="1264">
        <f>SUM(F741:F742)</f>
        <v>0</v>
      </c>
      <c r="G740" s="1264">
        <f>SUM(G741:G742)</f>
        <v>0</v>
      </c>
      <c r="H740" s="1264">
        <f>SUM(H741:H742)</f>
        <v>0</v>
      </c>
      <c r="I740" s="1264">
        <f>SUM(I741:I742)</f>
        <v>0</v>
      </c>
      <c r="J740" s="1263">
        <f>SUM(J741:J742)</f>
        <v>0</v>
      </c>
      <c r="K740" s="1255"/>
      <c r="L740" s="1254"/>
    </row>
    <row r="741" spans="1:12" s="1240" customFormat="1" ht="15" hidden="1" customHeight="1">
      <c r="A741" s="4726"/>
      <c r="B741" s="4727"/>
      <c r="C741" s="4728"/>
      <c r="D741" s="4729"/>
      <c r="E741" s="1236"/>
      <c r="F741" s="1230">
        <f>SUM(G741:J741)</f>
        <v>0</v>
      </c>
      <c r="G741" s="1230"/>
      <c r="H741" s="1230"/>
      <c r="I741" s="1230"/>
      <c r="J741" s="1229"/>
      <c r="K741" s="1255"/>
      <c r="L741" s="1254"/>
    </row>
    <row r="742" spans="1:12" s="1240" customFormat="1" ht="15" hidden="1" customHeight="1">
      <c r="A742" s="4726"/>
      <c r="B742" s="4727"/>
      <c r="C742" s="4728"/>
      <c r="D742" s="4729"/>
      <c r="E742" s="1236"/>
      <c r="F742" s="1230">
        <f>SUM(G742:J742)</f>
        <v>0</v>
      </c>
      <c r="G742" s="1230"/>
      <c r="H742" s="1230"/>
      <c r="I742" s="1230"/>
      <c r="J742" s="1229"/>
      <c r="K742" s="1255"/>
      <c r="L742" s="1254"/>
    </row>
    <row r="743" spans="1:12" s="1240" customFormat="1" ht="15" hidden="1" customHeight="1">
      <c r="A743" s="4726"/>
      <c r="B743" s="4727"/>
      <c r="C743" s="4728"/>
      <c r="D743" s="4729"/>
      <c r="E743" s="1262" t="s">
        <v>423</v>
      </c>
      <c r="F743" s="1261">
        <f>SUM(F744:F749)</f>
        <v>0</v>
      </c>
      <c r="G743" s="1261">
        <f>SUM(G744:G749)</f>
        <v>0</v>
      </c>
      <c r="H743" s="1261">
        <f>SUM(H744:H749)</f>
        <v>0</v>
      </c>
      <c r="I743" s="1261">
        <f>SUM(I744:I749)</f>
        <v>0</v>
      </c>
      <c r="J743" s="1260">
        <f>SUM(J744:J749)</f>
        <v>0</v>
      </c>
      <c r="K743" s="1255"/>
      <c r="L743" s="1254"/>
    </row>
    <row r="744" spans="1:12" s="1240" customFormat="1" ht="15" hidden="1" customHeight="1">
      <c r="A744" s="4726"/>
      <c r="B744" s="4727"/>
      <c r="C744" s="4728"/>
      <c r="D744" s="4729"/>
      <c r="E744" s="1236" t="s">
        <v>546</v>
      </c>
      <c r="F744" s="1230">
        <f t="shared" ref="F744:F749" si="38">SUM(G744:J744)</f>
        <v>0</v>
      </c>
      <c r="G744" s="1230"/>
      <c r="H744" s="1230"/>
      <c r="I744" s="1230"/>
      <c r="J744" s="1229"/>
      <c r="K744" s="1255"/>
      <c r="L744" s="1254"/>
    </row>
    <row r="745" spans="1:12" s="1240" customFormat="1" ht="15" hidden="1" customHeight="1">
      <c r="A745" s="4726"/>
      <c r="B745" s="4727"/>
      <c r="C745" s="4728"/>
      <c r="D745" s="4729"/>
      <c r="E745" s="1231">
        <v>6058</v>
      </c>
      <c r="F745" s="1230">
        <f t="shared" si="38"/>
        <v>0</v>
      </c>
      <c r="G745" s="1230"/>
      <c r="H745" s="1230"/>
      <c r="I745" s="1230"/>
      <c r="J745" s="1229"/>
      <c r="K745" s="1255"/>
      <c r="L745" s="1254"/>
    </row>
    <row r="746" spans="1:12" s="1240" customFormat="1" ht="15" hidden="1" customHeight="1">
      <c r="A746" s="4726"/>
      <c r="B746" s="4727"/>
      <c r="C746" s="4728"/>
      <c r="D746" s="4729"/>
      <c r="E746" s="1231">
        <v>6059</v>
      </c>
      <c r="F746" s="1230">
        <f t="shared" si="38"/>
        <v>0</v>
      </c>
      <c r="G746" s="1230"/>
      <c r="H746" s="1230"/>
      <c r="I746" s="1230"/>
      <c r="J746" s="1229"/>
      <c r="K746" s="1255"/>
      <c r="L746" s="1254"/>
    </row>
    <row r="747" spans="1:12" s="1240" customFormat="1" ht="15" hidden="1" customHeight="1">
      <c r="A747" s="4726"/>
      <c r="B747" s="4727"/>
      <c r="C747" s="4728"/>
      <c r="D747" s="4729"/>
      <c r="E747" s="1231">
        <v>6208</v>
      </c>
      <c r="F747" s="1230">
        <f t="shared" si="38"/>
        <v>0</v>
      </c>
      <c r="G747" s="1230"/>
      <c r="H747" s="1230"/>
      <c r="I747" s="1230"/>
      <c r="J747" s="1229"/>
      <c r="K747" s="1272"/>
      <c r="L747" s="1254"/>
    </row>
    <row r="748" spans="1:12" s="1240" customFormat="1" ht="15" hidden="1" customHeight="1">
      <c r="A748" s="4726"/>
      <c r="B748" s="4727"/>
      <c r="C748" s="4728"/>
      <c r="D748" s="4729"/>
      <c r="E748" s="1236" t="s">
        <v>504</v>
      </c>
      <c r="F748" s="1230">
        <f t="shared" si="38"/>
        <v>0</v>
      </c>
      <c r="G748" s="1230"/>
      <c r="H748" s="1230"/>
      <c r="I748" s="1230"/>
      <c r="J748" s="1229"/>
      <c r="K748" s="1255"/>
      <c r="L748" s="1254"/>
    </row>
    <row r="749" spans="1:12" s="1240" customFormat="1" ht="15" hidden="1" customHeight="1">
      <c r="A749" s="4726"/>
      <c r="B749" s="4727"/>
      <c r="C749" s="4728"/>
      <c r="D749" s="4729"/>
      <c r="E749" s="1231">
        <v>6069</v>
      </c>
      <c r="F749" s="1230">
        <f t="shared" si="38"/>
        <v>0</v>
      </c>
      <c r="G749" s="1230"/>
      <c r="H749" s="1230"/>
      <c r="I749" s="1230"/>
      <c r="J749" s="1229"/>
      <c r="K749" s="1255"/>
      <c r="L749" s="1254"/>
    </row>
    <row r="750" spans="1:12" s="1240" customFormat="1" ht="22.5" hidden="1">
      <c r="A750" s="4726"/>
      <c r="B750" s="4727" t="s">
        <v>550</v>
      </c>
      <c r="C750" s="4728">
        <v>600</v>
      </c>
      <c r="D750" s="4729" t="s">
        <v>547</v>
      </c>
      <c r="E750" s="1269" t="s">
        <v>435</v>
      </c>
      <c r="F750" s="1268">
        <f>SUM(F751,F758)</f>
        <v>0</v>
      </c>
      <c r="G750" s="1268">
        <f>SUM(G751,G758)</f>
        <v>0</v>
      </c>
      <c r="H750" s="1268">
        <f>SUM(H751,H758)</f>
        <v>0</v>
      </c>
      <c r="I750" s="1268">
        <f>SUM(I751,I758)</f>
        <v>0</v>
      </c>
      <c r="J750" s="1267">
        <f>SUM(J751,J758)</f>
        <v>0</v>
      </c>
      <c r="K750" s="1255"/>
      <c r="L750" s="1254"/>
    </row>
    <row r="751" spans="1:12" s="1240" customFormat="1" ht="15" hidden="1" customHeight="1">
      <c r="A751" s="4726"/>
      <c r="B751" s="4727"/>
      <c r="C751" s="4728"/>
      <c r="D751" s="4729"/>
      <c r="E751" s="1266" t="s">
        <v>541</v>
      </c>
      <c r="F751" s="1261">
        <f>SUM(F752,F755)</f>
        <v>0</v>
      </c>
      <c r="G751" s="1261">
        <f>SUM(G752,G755)</f>
        <v>0</v>
      </c>
      <c r="H751" s="1261">
        <f>SUM(H752,H755)</f>
        <v>0</v>
      </c>
      <c r="I751" s="1261">
        <f>SUM(I752,I755)</f>
        <v>0</v>
      </c>
      <c r="J751" s="1260">
        <f>SUM(J752,J755)</f>
        <v>0</v>
      </c>
      <c r="K751" s="1255"/>
      <c r="L751" s="1254"/>
    </row>
    <row r="752" spans="1:12" s="1240" customFormat="1" ht="22.5" hidden="1">
      <c r="A752" s="4726"/>
      <c r="B752" s="4727"/>
      <c r="C752" s="4728"/>
      <c r="D752" s="4729"/>
      <c r="E752" s="1265" t="s">
        <v>432</v>
      </c>
      <c r="F752" s="1264">
        <f>SUM(F753:F754)</f>
        <v>0</v>
      </c>
      <c r="G752" s="1264">
        <f>SUM(G753:G754)</f>
        <v>0</v>
      </c>
      <c r="H752" s="1264">
        <f>SUM(H753:H754)</f>
        <v>0</v>
      </c>
      <c r="I752" s="1264">
        <f>SUM(I753:I754)</f>
        <v>0</v>
      </c>
      <c r="J752" s="1263">
        <f>SUM(J753:J754)</f>
        <v>0</v>
      </c>
      <c r="K752" s="1255"/>
      <c r="L752" s="1254"/>
    </row>
    <row r="753" spans="1:12" s="1240" customFormat="1" ht="15" hidden="1" customHeight="1">
      <c r="A753" s="4726"/>
      <c r="B753" s="4727"/>
      <c r="C753" s="4728"/>
      <c r="D753" s="4729"/>
      <c r="E753" s="1236"/>
      <c r="F753" s="1230">
        <f>SUM(G753:J753)</f>
        <v>0</v>
      </c>
      <c r="G753" s="1230"/>
      <c r="H753" s="1230"/>
      <c r="I753" s="1230"/>
      <c r="J753" s="1229"/>
      <c r="K753" s="1255"/>
      <c r="L753" s="1254"/>
    </row>
    <row r="754" spans="1:12" s="1240" customFormat="1" ht="15" hidden="1" customHeight="1">
      <c r="A754" s="4726"/>
      <c r="B754" s="4727"/>
      <c r="C754" s="4728"/>
      <c r="D754" s="4729"/>
      <c r="E754" s="1236"/>
      <c r="F754" s="1230">
        <f>SUM(G754:J754)</f>
        <v>0</v>
      </c>
      <c r="G754" s="1230"/>
      <c r="H754" s="1230"/>
      <c r="I754" s="1230"/>
      <c r="J754" s="1229"/>
      <c r="K754" s="1255"/>
      <c r="L754" s="1254"/>
    </row>
    <row r="755" spans="1:12" s="1240" customFormat="1" ht="22.5" hidden="1">
      <c r="A755" s="4726"/>
      <c r="B755" s="4727"/>
      <c r="C755" s="4728"/>
      <c r="D755" s="4729"/>
      <c r="E755" s="1265" t="s">
        <v>427</v>
      </c>
      <c r="F755" s="1264">
        <f>SUM(F756:F757)</f>
        <v>0</v>
      </c>
      <c r="G755" s="1264">
        <f>SUM(G756:G757)</f>
        <v>0</v>
      </c>
      <c r="H755" s="1264">
        <f>SUM(H756:H757)</f>
        <v>0</v>
      </c>
      <c r="I755" s="1264">
        <f>SUM(I756:I757)</f>
        <v>0</v>
      </c>
      <c r="J755" s="1263">
        <f>SUM(J756:J757)</f>
        <v>0</v>
      </c>
      <c r="K755" s="1255"/>
      <c r="L755" s="1254"/>
    </row>
    <row r="756" spans="1:12" s="1240" customFormat="1" ht="15" hidden="1" customHeight="1">
      <c r="A756" s="4726"/>
      <c r="B756" s="4727"/>
      <c r="C756" s="4728"/>
      <c r="D756" s="4729"/>
      <c r="E756" s="1236"/>
      <c r="F756" s="1230">
        <f>SUM(G756:J756)</f>
        <v>0</v>
      </c>
      <c r="G756" s="1230"/>
      <c r="H756" s="1230"/>
      <c r="I756" s="1230"/>
      <c r="J756" s="1229"/>
      <c r="K756" s="1255"/>
      <c r="L756" s="1254"/>
    </row>
    <row r="757" spans="1:12" s="1240" customFormat="1" ht="15" hidden="1" customHeight="1">
      <c r="A757" s="4726"/>
      <c r="B757" s="4727"/>
      <c r="C757" s="4728"/>
      <c r="D757" s="4729"/>
      <c r="E757" s="1236"/>
      <c r="F757" s="1230">
        <f>SUM(G757:J757)</f>
        <v>0</v>
      </c>
      <c r="G757" s="1230"/>
      <c r="H757" s="1230"/>
      <c r="I757" s="1230"/>
      <c r="J757" s="1229"/>
      <c r="K757" s="1255"/>
      <c r="L757" s="1254"/>
    </row>
    <row r="758" spans="1:12" s="1240" customFormat="1" ht="15" hidden="1" customHeight="1">
      <c r="A758" s="4726"/>
      <c r="B758" s="4727"/>
      <c r="C758" s="4728"/>
      <c r="D758" s="4729"/>
      <c r="E758" s="1262" t="s">
        <v>423</v>
      </c>
      <c r="F758" s="1261">
        <f>SUM(F759:F764)</f>
        <v>0</v>
      </c>
      <c r="G758" s="1261">
        <f>SUM(G759:G764)</f>
        <v>0</v>
      </c>
      <c r="H758" s="1261">
        <f>SUM(H759:H764)</f>
        <v>0</v>
      </c>
      <c r="I758" s="1261">
        <f>SUM(I759:I764)</f>
        <v>0</v>
      </c>
      <c r="J758" s="1260">
        <f>SUM(J759:J764)</f>
        <v>0</v>
      </c>
      <c r="K758" s="1255"/>
      <c r="L758" s="1254"/>
    </row>
    <row r="759" spans="1:12" s="1240" customFormat="1" ht="15" hidden="1" customHeight="1">
      <c r="A759" s="4726"/>
      <c r="B759" s="4727"/>
      <c r="C759" s="4728"/>
      <c r="D759" s="4729"/>
      <c r="E759" s="1236" t="s">
        <v>546</v>
      </c>
      <c r="F759" s="1230">
        <f t="shared" ref="F759:F764" si="39">SUM(G759:J759)</f>
        <v>0</v>
      </c>
      <c r="G759" s="1230"/>
      <c r="H759" s="1230"/>
      <c r="I759" s="1230"/>
      <c r="J759" s="1229"/>
      <c r="K759" s="1255"/>
      <c r="L759" s="1254"/>
    </row>
    <row r="760" spans="1:12" s="1240" customFormat="1" ht="15" hidden="1" customHeight="1">
      <c r="A760" s="4726"/>
      <c r="B760" s="4727"/>
      <c r="C760" s="4728"/>
      <c r="D760" s="4729"/>
      <c r="E760" s="1231">
        <v>6058</v>
      </c>
      <c r="F760" s="1230">
        <f t="shared" si="39"/>
        <v>0</v>
      </c>
      <c r="G760" s="1230"/>
      <c r="H760" s="1230"/>
      <c r="I760" s="1230"/>
      <c r="J760" s="1229"/>
      <c r="K760" s="1255"/>
      <c r="L760" s="1254"/>
    </row>
    <row r="761" spans="1:12" s="1240" customFormat="1" ht="15" hidden="1" customHeight="1">
      <c r="A761" s="4726"/>
      <c r="B761" s="4727"/>
      <c r="C761" s="4728"/>
      <c r="D761" s="4729"/>
      <c r="E761" s="1231">
        <v>6059</v>
      </c>
      <c r="F761" s="1230">
        <f t="shared" si="39"/>
        <v>0</v>
      </c>
      <c r="G761" s="1230"/>
      <c r="H761" s="1230"/>
      <c r="I761" s="1230"/>
      <c r="J761" s="1229"/>
      <c r="K761" s="1255"/>
      <c r="L761" s="1254"/>
    </row>
    <row r="762" spans="1:12" s="1240" customFormat="1" ht="15" hidden="1" customHeight="1">
      <c r="A762" s="4726"/>
      <c r="B762" s="4727"/>
      <c r="C762" s="4728"/>
      <c r="D762" s="4729"/>
      <c r="E762" s="1231">
        <v>6208</v>
      </c>
      <c r="F762" s="1230">
        <f t="shared" si="39"/>
        <v>0</v>
      </c>
      <c r="G762" s="1230"/>
      <c r="H762" s="1230"/>
      <c r="I762" s="1230"/>
      <c r="J762" s="1229"/>
      <c r="K762" s="1255"/>
      <c r="L762" s="1254"/>
    </row>
    <row r="763" spans="1:12" s="1240" customFormat="1" ht="15" hidden="1" customHeight="1">
      <c r="A763" s="4726"/>
      <c r="B763" s="4727"/>
      <c r="C763" s="4728"/>
      <c r="D763" s="4729"/>
      <c r="E763" s="1236" t="s">
        <v>504</v>
      </c>
      <c r="F763" s="1230">
        <f t="shared" si="39"/>
        <v>0</v>
      </c>
      <c r="G763" s="1230"/>
      <c r="H763" s="1230"/>
      <c r="I763" s="1230"/>
      <c r="J763" s="1229"/>
      <c r="K763" s="1255"/>
      <c r="L763" s="1254"/>
    </row>
    <row r="764" spans="1:12" s="1240" customFormat="1" ht="15" hidden="1" customHeight="1">
      <c r="A764" s="4726"/>
      <c r="B764" s="4727"/>
      <c r="C764" s="4728"/>
      <c r="D764" s="4729"/>
      <c r="E764" s="1231">
        <v>6069</v>
      </c>
      <c r="F764" s="1230">
        <f t="shared" si="39"/>
        <v>0</v>
      </c>
      <c r="G764" s="1230"/>
      <c r="H764" s="1230"/>
      <c r="I764" s="1230"/>
      <c r="J764" s="1229"/>
      <c r="K764" s="1255"/>
      <c r="L764" s="1254"/>
    </row>
    <row r="765" spans="1:12" s="1240" customFormat="1" ht="22.5" customHeight="1">
      <c r="A765" s="4706" t="s">
        <v>549</v>
      </c>
      <c r="B765" s="4709" t="s">
        <v>548</v>
      </c>
      <c r="C765" s="4695">
        <v>600</v>
      </c>
      <c r="D765" s="4718" t="s">
        <v>547</v>
      </c>
      <c r="E765" s="1253" t="s">
        <v>435</v>
      </c>
      <c r="F765" s="1252">
        <f>SUM(F766,F773)</f>
        <v>71001181</v>
      </c>
      <c r="G765" s="1252">
        <f>SUM(G766,G773)</f>
        <v>11852833</v>
      </c>
      <c r="H765" s="1252">
        <f>SUM(H766,H773)</f>
        <v>59148348</v>
      </c>
      <c r="I765" s="1252">
        <f>SUM(I766,I773)</f>
        <v>0</v>
      </c>
      <c r="J765" s="1251">
        <f>SUM(J766,J773)</f>
        <v>0</v>
      </c>
      <c r="K765" s="1255"/>
      <c r="L765" s="1254"/>
    </row>
    <row r="766" spans="1:12" s="1240" customFormat="1" ht="15" customHeight="1">
      <c r="A766" s="4707"/>
      <c r="B766" s="4710"/>
      <c r="C766" s="4722"/>
      <c r="D766" s="4720"/>
      <c r="E766" s="1250" t="s">
        <v>541</v>
      </c>
      <c r="F766" s="1238">
        <f>SUM(F767,F770)</f>
        <v>0</v>
      </c>
      <c r="G766" s="1238">
        <f>SUM(G767,G770)</f>
        <v>0</v>
      </c>
      <c r="H766" s="1238">
        <f>SUM(H767,H770)</f>
        <v>0</v>
      </c>
      <c r="I766" s="1238">
        <f>SUM(I767,I770)</f>
        <v>0</v>
      </c>
      <c r="J766" s="1237">
        <f>SUM(J767,J770)</f>
        <v>0</v>
      </c>
      <c r="K766" s="1255"/>
      <c r="L766" s="1254"/>
    </row>
    <row r="767" spans="1:12" s="1240" customFormat="1" ht="22.5" hidden="1" customHeight="1">
      <c r="A767" s="4707"/>
      <c r="B767" s="4710"/>
      <c r="C767" s="4722"/>
      <c r="D767" s="4720"/>
      <c r="E767" s="1248" t="s">
        <v>432</v>
      </c>
      <c r="F767" s="1247">
        <f>SUM(F768:F769)</f>
        <v>0</v>
      </c>
      <c r="G767" s="1247">
        <f>SUM(G768:G769)</f>
        <v>0</v>
      </c>
      <c r="H767" s="1247">
        <f>SUM(H768:H769)</f>
        <v>0</v>
      </c>
      <c r="I767" s="1247">
        <f>SUM(I768:I769)</f>
        <v>0</v>
      </c>
      <c r="J767" s="1246">
        <f>SUM(J768:J769)</f>
        <v>0</v>
      </c>
      <c r="K767" s="1255"/>
      <c r="L767" s="1254"/>
    </row>
    <row r="768" spans="1:12" s="1240" customFormat="1" ht="15" hidden="1" customHeight="1">
      <c r="A768" s="4707"/>
      <c r="B768" s="4710"/>
      <c r="C768" s="4722"/>
      <c r="D768" s="4720"/>
      <c r="E768" s="1249"/>
      <c r="F768" s="1244">
        <f>SUM(G768:J768)</f>
        <v>0</v>
      </c>
      <c r="G768" s="1244"/>
      <c r="H768" s="1244"/>
      <c r="I768" s="1244"/>
      <c r="J768" s="1243"/>
      <c r="K768" s="1255"/>
      <c r="L768" s="1254"/>
    </row>
    <row r="769" spans="1:17" s="1240" customFormat="1" ht="15" hidden="1" customHeight="1">
      <c r="A769" s="4707"/>
      <c r="B769" s="4710"/>
      <c r="C769" s="4722"/>
      <c r="D769" s="4720"/>
      <c r="E769" s="1249"/>
      <c r="F769" s="1244">
        <f>SUM(G769:J769)</f>
        <v>0</v>
      </c>
      <c r="G769" s="1244"/>
      <c r="H769" s="1244"/>
      <c r="I769" s="1244"/>
      <c r="J769" s="1243"/>
      <c r="K769" s="1255"/>
      <c r="L769" s="1254"/>
    </row>
    <row r="770" spans="1:17" s="1240" customFormat="1" ht="22.5" hidden="1" customHeight="1">
      <c r="A770" s="4707"/>
      <c r="B770" s="4710"/>
      <c r="C770" s="4722"/>
      <c r="D770" s="4720"/>
      <c r="E770" s="1248" t="s">
        <v>427</v>
      </c>
      <c r="F770" s="1247">
        <f>SUM(F771:F772)</f>
        <v>0</v>
      </c>
      <c r="G770" s="1247">
        <f>SUM(G771:G772)</f>
        <v>0</v>
      </c>
      <c r="H770" s="1247">
        <f>SUM(H771:H772)</f>
        <v>0</v>
      </c>
      <c r="I770" s="1247">
        <f>SUM(I771:I772)</f>
        <v>0</v>
      </c>
      <c r="J770" s="1246">
        <f>SUM(J771:J772)</f>
        <v>0</v>
      </c>
      <c r="K770" s="1255"/>
      <c r="L770" s="1254"/>
    </row>
    <row r="771" spans="1:17" s="1240" customFormat="1" ht="15" hidden="1" customHeight="1">
      <c r="A771" s="4707"/>
      <c r="B771" s="4710"/>
      <c r="C771" s="4722"/>
      <c r="D771" s="4720"/>
      <c r="E771" s="1249"/>
      <c r="F771" s="1244">
        <f>SUM(G771:J771)</f>
        <v>0</v>
      </c>
      <c r="G771" s="1244"/>
      <c r="H771" s="1244"/>
      <c r="I771" s="1244"/>
      <c r="J771" s="1243"/>
      <c r="K771" s="1255"/>
      <c r="L771" s="1254"/>
    </row>
    <row r="772" spans="1:17" s="1240" customFormat="1" ht="15" hidden="1" customHeight="1">
      <c r="A772" s="4707"/>
      <c r="B772" s="4710"/>
      <c r="C772" s="4722"/>
      <c r="D772" s="4720"/>
      <c r="E772" s="1249"/>
      <c r="F772" s="1244">
        <f>SUM(G772:J772)</f>
        <v>0</v>
      </c>
      <c r="G772" s="1244"/>
      <c r="H772" s="1244"/>
      <c r="I772" s="1244"/>
      <c r="J772" s="1243"/>
      <c r="K772" s="1255"/>
      <c r="L772" s="1254"/>
    </row>
    <row r="773" spans="1:17" s="1240" customFormat="1" ht="15" customHeight="1">
      <c r="A773" s="4707"/>
      <c r="B773" s="4710"/>
      <c r="C773" s="4722"/>
      <c r="D773" s="4720"/>
      <c r="E773" s="1239" t="s">
        <v>423</v>
      </c>
      <c r="F773" s="1238">
        <f>SUM(F774:F779)</f>
        <v>71001181</v>
      </c>
      <c r="G773" s="1238">
        <f>SUM(G774:G779)</f>
        <v>11852833</v>
      </c>
      <c r="H773" s="1238">
        <f>SUM(H774:H779)</f>
        <v>59148348</v>
      </c>
      <c r="I773" s="1238">
        <f>SUM(I774:I779)</f>
        <v>0</v>
      </c>
      <c r="J773" s="1237">
        <f>SUM(J774:J779)</f>
        <v>0</v>
      </c>
      <c r="K773" s="1255"/>
      <c r="L773" s="1254"/>
    </row>
    <row r="774" spans="1:17" s="1240" customFormat="1" ht="15" customHeight="1">
      <c r="A774" s="4707"/>
      <c r="B774" s="4710"/>
      <c r="C774" s="4722"/>
      <c r="D774" s="4720"/>
      <c r="E774" s="1249" t="s">
        <v>546</v>
      </c>
      <c r="F774" s="1244">
        <f t="shared" ref="F774:F779" si="40">SUM(G774:J774)</f>
        <v>1414889</v>
      </c>
      <c r="G774" s="1244">
        <v>1414889</v>
      </c>
      <c r="H774" s="1244"/>
      <c r="I774" s="1244"/>
      <c r="J774" s="1243"/>
      <c r="K774" s="1255"/>
      <c r="L774" s="1254"/>
    </row>
    <row r="775" spans="1:17" s="1240" customFormat="1" ht="15" customHeight="1">
      <c r="A775" s="4707"/>
      <c r="B775" s="4710"/>
      <c r="C775" s="4722"/>
      <c r="D775" s="4720"/>
      <c r="E775" s="1281">
        <v>6057</v>
      </c>
      <c r="F775" s="1244">
        <f t="shared" si="40"/>
        <v>59148348</v>
      </c>
      <c r="G775" s="1244"/>
      <c r="H775" s="1244">
        <v>59148348</v>
      </c>
      <c r="I775" s="1244"/>
      <c r="J775" s="1243"/>
      <c r="K775" s="1255"/>
      <c r="L775" s="1254"/>
    </row>
    <row r="776" spans="1:17" s="1240" customFormat="1" ht="15" customHeight="1">
      <c r="A776" s="4708"/>
      <c r="B776" s="4711"/>
      <c r="C776" s="4696"/>
      <c r="D776" s="4719"/>
      <c r="E776" s="1281">
        <v>6059</v>
      </c>
      <c r="F776" s="1244">
        <f t="shared" si="40"/>
        <v>10437944</v>
      </c>
      <c r="G776" s="1244">
        <v>10437944</v>
      </c>
      <c r="H776" s="1244"/>
      <c r="I776" s="1244"/>
      <c r="J776" s="1243"/>
      <c r="K776" s="1255"/>
      <c r="L776" s="1254"/>
    </row>
    <row r="777" spans="1:17" s="1240" customFormat="1" ht="15" hidden="1" customHeight="1">
      <c r="A777" s="1304"/>
      <c r="B777" s="1303"/>
      <c r="C777" s="1302"/>
      <c r="D777" s="1301"/>
      <c r="E777" s="1281">
        <v>6060</v>
      </c>
      <c r="F777" s="1244">
        <f t="shared" si="40"/>
        <v>0</v>
      </c>
      <c r="G777" s="1244"/>
      <c r="H777" s="1244"/>
      <c r="I777" s="1244"/>
      <c r="J777" s="1243"/>
      <c r="K777" s="1255"/>
      <c r="L777" s="1254"/>
    </row>
    <row r="778" spans="1:17" s="1240" customFormat="1" ht="15" hidden="1" customHeight="1">
      <c r="A778" s="1304"/>
      <c r="B778" s="1303"/>
      <c r="C778" s="1302"/>
      <c r="D778" s="1301"/>
      <c r="E778" s="1249" t="s">
        <v>504</v>
      </c>
      <c r="F778" s="1244">
        <f t="shared" si="40"/>
        <v>0</v>
      </c>
      <c r="G778" s="1244"/>
      <c r="H778" s="1244"/>
      <c r="I778" s="1244"/>
      <c r="J778" s="1243"/>
      <c r="K778" s="1255"/>
      <c r="L778" s="1254"/>
    </row>
    <row r="779" spans="1:17" s="1240" customFormat="1" ht="15" hidden="1" customHeight="1">
      <c r="A779" s="1304"/>
      <c r="B779" s="1303"/>
      <c r="C779" s="1302"/>
      <c r="D779" s="1301"/>
      <c r="E779" s="1281">
        <v>6069</v>
      </c>
      <c r="F779" s="1244">
        <f t="shared" si="40"/>
        <v>0</v>
      </c>
      <c r="G779" s="1244"/>
      <c r="H779" s="1244"/>
      <c r="I779" s="1244"/>
      <c r="J779" s="1243"/>
      <c r="K779" s="1255"/>
      <c r="L779" s="1254"/>
    </row>
    <row r="780" spans="1:17" s="1256" customFormat="1" ht="30" customHeight="1">
      <c r="A780" s="1259" t="s">
        <v>545</v>
      </c>
      <c r="B780" s="4688" t="s">
        <v>544</v>
      </c>
      <c r="C780" s="4688"/>
      <c r="D780" s="4688"/>
      <c r="E780" s="4688"/>
      <c r="F780" s="1258">
        <f>F790+F819+F866+F916</f>
        <v>51908479</v>
      </c>
      <c r="G780" s="1258">
        <f>G790+G819+G866+G916</f>
        <v>6409017</v>
      </c>
      <c r="H780" s="1258">
        <f>H790+H819+H866+H916</f>
        <v>18216590</v>
      </c>
      <c r="I780" s="1258">
        <f>I790+I819+I866+I916</f>
        <v>27282872</v>
      </c>
      <c r="J780" s="1257">
        <f>J790+J819+J866+J916</f>
        <v>0</v>
      </c>
      <c r="K780" s="1242"/>
      <c r="L780" s="1241"/>
    </row>
    <row r="781" spans="1:17" s="1256" customFormat="1" ht="15" customHeight="1">
      <c r="A781" s="4689"/>
      <c r="B781" s="4690"/>
      <c r="C781" s="4690"/>
      <c r="D781" s="4690"/>
      <c r="E781" s="4690"/>
      <c r="F781" s="4690"/>
      <c r="G781" s="4690"/>
      <c r="H781" s="4690"/>
      <c r="I781" s="4690"/>
      <c r="J781" s="4691"/>
      <c r="K781" s="1255"/>
      <c r="L781" s="1254"/>
      <c r="M781" s="1240"/>
      <c r="N781" s="1240"/>
      <c r="O781" s="1240"/>
      <c r="P781" s="1240"/>
      <c r="Q781" s="1240"/>
    </row>
    <row r="782" spans="1:17" s="1256" customFormat="1" ht="22.5" hidden="1">
      <c r="A782" s="4726"/>
      <c r="B782" s="4727" t="s">
        <v>543</v>
      </c>
      <c r="C782" s="4728"/>
      <c r="D782" s="4728"/>
      <c r="E782" s="1269" t="s">
        <v>435</v>
      </c>
      <c r="F782" s="1268">
        <f>SUM(F783,F787)</f>
        <v>0</v>
      </c>
      <c r="G782" s="1268">
        <f>SUM(G783,G787)</f>
        <v>0</v>
      </c>
      <c r="H782" s="1268">
        <f>SUM(H783,H787)</f>
        <v>0</v>
      </c>
      <c r="I782" s="1268">
        <f>SUM(I783,I787)</f>
        <v>0</v>
      </c>
      <c r="J782" s="1267">
        <f>SUM(J783,J787)</f>
        <v>0</v>
      </c>
      <c r="K782" s="1255"/>
      <c r="L782" s="1254"/>
      <c r="M782" s="1240"/>
      <c r="N782" s="1240"/>
      <c r="O782" s="1240"/>
      <c r="P782" s="1240"/>
      <c r="Q782" s="1240"/>
    </row>
    <row r="783" spans="1:17" s="1256" customFormat="1" ht="15" hidden="1" customHeight="1">
      <c r="A783" s="4726"/>
      <c r="B783" s="4727"/>
      <c r="C783" s="4728"/>
      <c r="D783" s="4728"/>
      <c r="E783" s="1266" t="s">
        <v>541</v>
      </c>
      <c r="F783" s="1261">
        <f>SUM(F784:F786)</f>
        <v>0</v>
      </c>
      <c r="G783" s="1261">
        <f>SUM(G784:G786)</f>
        <v>0</v>
      </c>
      <c r="H783" s="1261">
        <f>SUM(H784:H786)</f>
        <v>0</v>
      </c>
      <c r="I783" s="1261">
        <f>SUM(I784:I786)</f>
        <v>0</v>
      </c>
      <c r="J783" s="1260">
        <f>SUM(J784:J786)</f>
        <v>0</v>
      </c>
      <c r="K783" s="1255"/>
      <c r="L783" s="1254"/>
      <c r="M783" s="1240"/>
      <c r="N783" s="1240"/>
      <c r="O783" s="1240"/>
      <c r="P783" s="1240"/>
      <c r="Q783" s="1240"/>
    </row>
    <row r="784" spans="1:17" s="1256" customFormat="1" ht="15" hidden="1" customHeight="1">
      <c r="A784" s="4726"/>
      <c r="B784" s="4727"/>
      <c r="C784" s="4728">
        <v>853</v>
      </c>
      <c r="D784" s="4729" t="s">
        <v>539</v>
      </c>
      <c r="E784" s="1236" t="s">
        <v>359</v>
      </c>
      <c r="F784" s="1230">
        <f>SUM(G784:J784)</f>
        <v>0</v>
      </c>
      <c r="G784" s="1230"/>
      <c r="H784" s="1230"/>
      <c r="I784" s="1230"/>
      <c r="J784" s="1229"/>
      <c r="K784" s="1255"/>
      <c r="L784" s="1254"/>
      <c r="M784" s="1240"/>
      <c r="N784" s="1240"/>
      <c r="O784" s="1240"/>
      <c r="P784" s="1240"/>
      <c r="Q784" s="1240"/>
    </row>
    <row r="785" spans="1:17" s="1256" customFormat="1" ht="15" hidden="1" customHeight="1">
      <c r="A785" s="4726"/>
      <c r="B785" s="4727"/>
      <c r="C785" s="4728"/>
      <c r="D785" s="4729"/>
      <c r="E785" s="1236" t="s">
        <v>300</v>
      </c>
      <c r="F785" s="1230">
        <f>SUM(G785:J785)</f>
        <v>0</v>
      </c>
      <c r="G785" s="1230"/>
      <c r="H785" s="1230"/>
      <c r="I785" s="1230"/>
      <c r="J785" s="1229"/>
      <c r="K785" s="1255"/>
      <c r="L785" s="1254"/>
      <c r="M785" s="1240"/>
      <c r="N785" s="1240"/>
      <c r="O785" s="1240"/>
      <c r="P785" s="1240"/>
      <c r="Q785" s="1240"/>
    </row>
    <row r="786" spans="1:17" s="1256" customFormat="1" ht="15" hidden="1" customHeight="1">
      <c r="A786" s="4726"/>
      <c r="B786" s="4727"/>
      <c r="C786" s="4728"/>
      <c r="D786" s="4729"/>
      <c r="E786" s="1236" t="s">
        <v>301</v>
      </c>
      <c r="F786" s="1230">
        <f>SUM(G786:J786)</f>
        <v>0</v>
      </c>
      <c r="G786" s="1230"/>
      <c r="H786" s="1230"/>
      <c r="I786" s="1230"/>
      <c r="J786" s="1229"/>
      <c r="K786" s="1255"/>
      <c r="L786" s="1254"/>
      <c r="M786" s="1240"/>
      <c r="N786" s="1240"/>
      <c r="O786" s="1240"/>
      <c r="P786" s="1240"/>
      <c r="Q786" s="1240"/>
    </row>
    <row r="787" spans="1:17" s="1256" customFormat="1" ht="15" hidden="1" customHeight="1">
      <c r="A787" s="4726"/>
      <c r="B787" s="4727"/>
      <c r="C787" s="4728"/>
      <c r="D787" s="4728"/>
      <c r="E787" s="1262" t="s">
        <v>423</v>
      </c>
      <c r="F787" s="1261">
        <f>SUM(F788:F789)</f>
        <v>0</v>
      </c>
      <c r="G787" s="1261">
        <f>SUM(G788:G789)</f>
        <v>0</v>
      </c>
      <c r="H787" s="1261">
        <f>SUM(H788:H789)</f>
        <v>0</v>
      </c>
      <c r="I787" s="1261">
        <f>SUM(I788:I789)</f>
        <v>0</v>
      </c>
      <c r="J787" s="1260">
        <f>SUM(J788:J789)</f>
        <v>0</v>
      </c>
      <c r="K787" s="1255"/>
      <c r="L787" s="1254"/>
      <c r="M787" s="1240"/>
      <c r="N787" s="1240"/>
      <c r="O787" s="1240"/>
      <c r="P787" s="1240"/>
      <c r="Q787" s="1240"/>
    </row>
    <row r="788" spans="1:17" s="1256" customFormat="1" ht="15" hidden="1" customHeight="1">
      <c r="A788" s="4726"/>
      <c r="B788" s="4727"/>
      <c r="C788" s="1231"/>
      <c r="D788" s="1236"/>
      <c r="E788" s="1236"/>
      <c r="F788" s="1230">
        <f>SUM(G788:J788)</f>
        <v>0</v>
      </c>
      <c r="G788" s="1230"/>
      <c r="H788" s="1230"/>
      <c r="I788" s="1230"/>
      <c r="J788" s="1229"/>
      <c r="K788" s="1255"/>
      <c r="L788" s="1254"/>
      <c r="M788" s="1240"/>
      <c r="N788" s="1240"/>
      <c r="O788" s="1240"/>
      <c r="P788" s="1240"/>
      <c r="Q788" s="1240"/>
    </row>
    <row r="789" spans="1:17" s="1256" customFormat="1" ht="15" hidden="1" customHeight="1">
      <c r="A789" s="4726"/>
      <c r="B789" s="4727"/>
      <c r="C789" s="1231"/>
      <c r="D789" s="1236"/>
      <c r="E789" s="1236"/>
      <c r="F789" s="1230">
        <f>SUM(G789:J789)</f>
        <v>0</v>
      </c>
      <c r="G789" s="1230"/>
      <c r="H789" s="1230"/>
      <c r="I789" s="1230"/>
      <c r="J789" s="1229"/>
      <c r="K789" s="1255"/>
      <c r="L789" s="1254"/>
      <c r="M789" s="1240"/>
      <c r="N789" s="1240"/>
      <c r="O789" s="1240"/>
      <c r="P789" s="1240"/>
      <c r="Q789" s="1240"/>
    </row>
    <row r="790" spans="1:17" s="1256" customFormat="1" ht="22.5" customHeight="1">
      <c r="A790" s="4706" t="s">
        <v>473</v>
      </c>
      <c r="B790" s="4709" t="s">
        <v>542</v>
      </c>
      <c r="C790" s="4694"/>
      <c r="D790" s="4694"/>
      <c r="E790" s="1253" t="s">
        <v>435</v>
      </c>
      <c r="F790" s="1252">
        <f>SUM(F791,F808)</f>
        <v>9383296</v>
      </c>
      <c r="G790" s="1252">
        <f>SUM(G791,G808)</f>
        <v>0</v>
      </c>
      <c r="H790" s="1252">
        <f>SUM(H791,H808)</f>
        <v>0</v>
      </c>
      <c r="I790" s="1252">
        <f>SUM(I791,I808)</f>
        <v>9383296</v>
      </c>
      <c r="J790" s="1251">
        <f>SUM(J791,J808)</f>
        <v>0</v>
      </c>
      <c r="K790" s="1272"/>
      <c r="L790" s="1254"/>
      <c r="M790" s="1240"/>
      <c r="N790" s="1240"/>
      <c r="O790" s="1240"/>
      <c r="P790" s="1240"/>
      <c r="Q790" s="1240"/>
    </row>
    <row r="791" spans="1:17" s="1256" customFormat="1" ht="15" customHeight="1">
      <c r="A791" s="4707"/>
      <c r="B791" s="4710"/>
      <c r="C791" s="4694"/>
      <c r="D791" s="4694"/>
      <c r="E791" s="1250" t="s">
        <v>541</v>
      </c>
      <c r="F791" s="1238">
        <f>SUM(F792:F807)</f>
        <v>9383296</v>
      </c>
      <c r="G791" s="1238">
        <f>SUM(G792:G807)</f>
        <v>0</v>
      </c>
      <c r="H791" s="1238">
        <f>SUM(H792:H807)</f>
        <v>0</v>
      </c>
      <c r="I791" s="1238">
        <f>SUM(I792:I807)</f>
        <v>9383296</v>
      </c>
      <c r="J791" s="1237">
        <f>SUM(J792:J807)</f>
        <v>0</v>
      </c>
      <c r="K791" s="1255"/>
      <c r="L791" s="1254"/>
      <c r="M791" s="1240"/>
      <c r="N791" s="1240"/>
      <c r="O791" s="1240"/>
      <c r="P791" s="1240"/>
      <c r="Q791" s="1240"/>
    </row>
    <row r="792" spans="1:17" s="1256" customFormat="1" ht="15" customHeight="1">
      <c r="A792" s="4707"/>
      <c r="B792" s="4710"/>
      <c r="C792" s="4695">
        <v>150</v>
      </c>
      <c r="D792" s="4718" t="s">
        <v>68</v>
      </c>
      <c r="E792" s="1249" t="s">
        <v>359</v>
      </c>
      <c r="F792" s="1244">
        <f t="shared" ref="F792:F807" si="41">SUM(G792:J792)</f>
        <v>107641</v>
      </c>
      <c r="G792" s="1244"/>
      <c r="H792" s="1244"/>
      <c r="I792" s="1244">
        <v>107641</v>
      </c>
      <c r="J792" s="1243"/>
      <c r="K792" s="1255"/>
      <c r="L792" s="1254"/>
      <c r="M792" s="1240"/>
      <c r="N792" s="1240"/>
      <c r="O792" s="1240"/>
      <c r="P792" s="1240"/>
      <c r="Q792" s="1240"/>
    </row>
    <row r="793" spans="1:17" s="1256" customFormat="1" ht="15" hidden="1" customHeight="1">
      <c r="A793" s="4707"/>
      <c r="B793" s="4710"/>
      <c r="C793" s="4722"/>
      <c r="D793" s="4720"/>
      <c r="E793" s="1249" t="s">
        <v>185</v>
      </c>
      <c r="F793" s="1244">
        <f t="shared" si="41"/>
        <v>0</v>
      </c>
      <c r="G793" s="1244"/>
      <c r="H793" s="1244"/>
      <c r="I793" s="1244"/>
      <c r="J793" s="1243"/>
      <c r="K793" s="1255"/>
      <c r="L793" s="1254"/>
      <c r="M793" s="1240"/>
      <c r="N793" s="1240"/>
      <c r="O793" s="1240"/>
      <c r="P793" s="1240"/>
      <c r="Q793" s="1240"/>
    </row>
    <row r="794" spans="1:17" s="1256" customFormat="1" ht="15" hidden="1" customHeight="1">
      <c r="A794" s="4707"/>
      <c r="B794" s="4710"/>
      <c r="C794" s="4722"/>
      <c r="D794" s="4720"/>
      <c r="E794" s="1249" t="s">
        <v>301</v>
      </c>
      <c r="F794" s="1244">
        <f t="shared" si="41"/>
        <v>0</v>
      </c>
      <c r="G794" s="1244"/>
      <c r="H794" s="1244"/>
      <c r="I794" s="1244"/>
      <c r="J794" s="1243"/>
      <c r="K794" s="1255"/>
      <c r="L794" s="1254"/>
      <c r="M794" s="1240"/>
      <c r="N794" s="1240"/>
      <c r="O794" s="1240"/>
      <c r="P794" s="1240"/>
      <c r="Q794" s="1240"/>
    </row>
    <row r="795" spans="1:17" s="1256" customFormat="1" ht="15" hidden="1" customHeight="1">
      <c r="A795" s="4707"/>
      <c r="B795" s="4710"/>
      <c r="C795" s="4696"/>
      <c r="D795" s="4719"/>
      <c r="E795" s="1249" t="s">
        <v>300</v>
      </c>
      <c r="F795" s="1244">
        <f t="shared" si="41"/>
        <v>0</v>
      </c>
      <c r="G795" s="1244"/>
      <c r="H795" s="1244"/>
      <c r="I795" s="1244"/>
      <c r="J795" s="1243"/>
      <c r="K795" s="1255"/>
      <c r="L795" s="1254"/>
      <c r="M795" s="1240"/>
      <c r="N795" s="1240"/>
      <c r="O795" s="1240"/>
      <c r="P795" s="1240"/>
      <c r="Q795" s="1240"/>
    </row>
    <row r="796" spans="1:17" s="1256" customFormat="1" ht="15" customHeight="1">
      <c r="A796" s="4707"/>
      <c r="B796" s="4710"/>
      <c r="C796" s="4695">
        <v>801</v>
      </c>
      <c r="D796" s="4718" t="s">
        <v>436</v>
      </c>
      <c r="E796" s="1249" t="s">
        <v>359</v>
      </c>
      <c r="F796" s="1244">
        <f t="shared" si="41"/>
        <v>611361</v>
      </c>
      <c r="G796" s="1244"/>
      <c r="H796" s="1244"/>
      <c r="I796" s="1244">
        <v>611361</v>
      </c>
      <c r="J796" s="1243"/>
      <c r="K796" s="1255"/>
      <c r="L796" s="1254"/>
      <c r="M796" s="1240"/>
      <c r="N796" s="1240"/>
      <c r="O796" s="1240"/>
      <c r="P796" s="1240"/>
      <c r="Q796" s="1240"/>
    </row>
    <row r="797" spans="1:17" s="1256" customFormat="1" ht="15" customHeight="1">
      <c r="A797" s="4707"/>
      <c r="B797" s="4710"/>
      <c r="C797" s="4722"/>
      <c r="D797" s="4720"/>
      <c r="E797" s="1249" t="s">
        <v>185</v>
      </c>
      <c r="F797" s="1244">
        <f t="shared" si="41"/>
        <v>18143</v>
      </c>
      <c r="G797" s="1244"/>
      <c r="H797" s="1244"/>
      <c r="I797" s="1244">
        <v>18143</v>
      </c>
      <c r="J797" s="1243"/>
      <c r="K797" s="1255"/>
      <c r="L797" s="1254"/>
      <c r="M797" s="1240"/>
      <c r="N797" s="1240"/>
      <c r="O797" s="1240"/>
      <c r="P797" s="1240"/>
      <c r="Q797" s="1240"/>
    </row>
    <row r="798" spans="1:17" s="1256" customFormat="1" ht="15" hidden="1" customHeight="1">
      <c r="A798" s="4707"/>
      <c r="B798" s="4710"/>
      <c r="C798" s="4722"/>
      <c r="D798" s="4720"/>
      <c r="E798" s="1249" t="s">
        <v>300</v>
      </c>
      <c r="F798" s="1244">
        <f t="shared" si="41"/>
        <v>0</v>
      </c>
      <c r="G798" s="1244"/>
      <c r="H798" s="1244"/>
      <c r="I798" s="1244"/>
      <c r="J798" s="1243"/>
      <c r="K798" s="1255"/>
      <c r="L798" s="1254"/>
      <c r="M798" s="1240"/>
      <c r="N798" s="1240"/>
      <c r="O798" s="1240"/>
      <c r="P798" s="1240"/>
      <c r="Q798" s="1240"/>
    </row>
    <row r="799" spans="1:17" s="1256" customFormat="1" ht="15" hidden="1" customHeight="1">
      <c r="A799" s="4707"/>
      <c r="B799" s="4710"/>
      <c r="C799" s="4696"/>
      <c r="D799" s="4719"/>
      <c r="E799" s="1249" t="s">
        <v>301</v>
      </c>
      <c r="F799" s="1244">
        <f t="shared" si="41"/>
        <v>0</v>
      </c>
      <c r="G799" s="1244"/>
      <c r="H799" s="1244"/>
      <c r="I799" s="1244"/>
      <c r="J799" s="1243"/>
      <c r="K799" s="1255"/>
      <c r="L799" s="1254"/>
      <c r="M799" s="1240"/>
      <c r="N799" s="1240"/>
      <c r="O799" s="1240"/>
      <c r="P799" s="1240"/>
      <c r="Q799" s="1240"/>
    </row>
    <row r="800" spans="1:17" s="1256" customFormat="1" ht="15" customHeight="1">
      <c r="A800" s="4707"/>
      <c r="B800" s="4710"/>
      <c r="C800" s="4695">
        <v>852</v>
      </c>
      <c r="D800" s="4718" t="s">
        <v>495</v>
      </c>
      <c r="E800" s="1249" t="s">
        <v>359</v>
      </c>
      <c r="F800" s="1244">
        <f t="shared" si="41"/>
        <v>4711394</v>
      </c>
      <c r="G800" s="1244"/>
      <c r="H800" s="1244"/>
      <c r="I800" s="1244">
        <v>4711394</v>
      </c>
      <c r="J800" s="1243"/>
      <c r="K800" s="1255"/>
      <c r="L800" s="1254"/>
      <c r="M800" s="1240"/>
      <c r="N800" s="1240"/>
      <c r="O800" s="1240"/>
      <c r="P800" s="1240"/>
      <c r="Q800" s="1240"/>
    </row>
    <row r="801" spans="1:17" s="1256" customFormat="1" ht="15" customHeight="1">
      <c r="A801" s="4707"/>
      <c r="B801" s="4710"/>
      <c r="C801" s="4722"/>
      <c r="D801" s="4720"/>
      <c r="E801" s="1249" t="s">
        <v>185</v>
      </c>
      <c r="F801" s="1244">
        <f t="shared" si="41"/>
        <v>1490664</v>
      </c>
      <c r="G801" s="1244"/>
      <c r="H801" s="1244"/>
      <c r="I801" s="1244">
        <v>1490664</v>
      </c>
      <c r="J801" s="1243"/>
      <c r="K801" s="1255"/>
      <c r="L801" s="1254"/>
      <c r="M801" s="1240"/>
      <c r="N801" s="1240"/>
      <c r="O801" s="1240"/>
      <c r="P801" s="1240"/>
      <c r="Q801" s="1240"/>
    </row>
    <row r="802" spans="1:17" s="1256" customFormat="1" ht="15" hidden="1" customHeight="1">
      <c r="A802" s="4707"/>
      <c r="B802" s="4710"/>
      <c r="C802" s="4722"/>
      <c r="D802" s="4720"/>
      <c r="E802" s="1249" t="s">
        <v>301</v>
      </c>
      <c r="F802" s="1244">
        <f t="shared" si="41"/>
        <v>0</v>
      </c>
      <c r="G802" s="1244"/>
      <c r="H802" s="1244"/>
      <c r="I802" s="1244"/>
      <c r="J802" s="1243"/>
      <c r="K802" s="1255"/>
      <c r="L802" s="1254"/>
      <c r="M802" s="1240"/>
      <c r="N802" s="1240"/>
      <c r="O802" s="1240"/>
      <c r="P802" s="1240"/>
      <c r="Q802" s="1240"/>
    </row>
    <row r="803" spans="1:17" s="1256" customFormat="1" ht="15" hidden="1" customHeight="1">
      <c r="A803" s="4707"/>
      <c r="B803" s="4710"/>
      <c r="C803" s="4696"/>
      <c r="D803" s="4719"/>
      <c r="E803" s="1249" t="s">
        <v>300</v>
      </c>
      <c r="F803" s="1244">
        <f t="shared" si="41"/>
        <v>0</v>
      </c>
      <c r="G803" s="1244"/>
      <c r="H803" s="1244"/>
      <c r="I803" s="1244"/>
      <c r="J803" s="1243"/>
      <c r="K803" s="1255"/>
      <c r="L803" s="1254"/>
      <c r="M803" s="1240"/>
      <c r="N803" s="1240"/>
      <c r="O803" s="1240"/>
      <c r="P803" s="1240"/>
      <c r="Q803" s="1240"/>
    </row>
    <row r="804" spans="1:17" s="1256" customFormat="1" ht="15" customHeight="1">
      <c r="A804" s="4707"/>
      <c r="B804" s="4710"/>
      <c r="C804" s="4695">
        <v>853</v>
      </c>
      <c r="D804" s="4718" t="s">
        <v>539</v>
      </c>
      <c r="E804" s="1249" t="s">
        <v>359</v>
      </c>
      <c r="F804" s="1244">
        <f t="shared" si="41"/>
        <v>2417975</v>
      </c>
      <c r="G804" s="1244"/>
      <c r="H804" s="1244"/>
      <c r="I804" s="1244">
        <v>2417975</v>
      </c>
      <c r="J804" s="1243"/>
      <c r="K804" s="1255"/>
      <c r="L804" s="1254"/>
      <c r="M804" s="1240"/>
      <c r="N804" s="1240"/>
      <c r="O804" s="1240"/>
      <c r="P804" s="1240"/>
      <c r="Q804" s="1240"/>
    </row>
    <row r="805" spans="1:17" s="1256" customFormat="1" ht="15" customHeight="1">
      <c r="A805" s="4707"/>
      <c r="B805" s="4710"/>
      <c r="C805" s="4722"/>
      <c r="D805" s="4720"/>
      <c r="E805" s="1249" t="s">
        <v>185</v>
      </c>
      <c r="F805" s="1244">
        <f t="shared" si="41"/>
        <v>26118</v>
      </c>
      <c r="G805" s="1244"/>
      <c r="H805" s="1244"/>
      <c r="I805" s="1244">
        <v>26118</v>
      </c>
      <c r="J805" s="1243"/>
      <c r="K805" s="1255"/>
      <c r="L805" s="1254"/>
      <c r="M805" s="1240"/>
      <c r="N805" s="1240"/>
      <c r="O805" s="1240"/>
      <c r="P805" s="1240"/>
      <c r="Q805" s="1240"/>
    </row>
    <row r="806" spans="1:17" s="1256" customFormat="1" ht="15" hidden="1" customHeight="1">
      <c r="A806" s="4707"/>
      <c r="B806" s="4710"/>
      <c r="C806" s="4722"/>
      <c r="D806" s="4720"/>
      <c r="E806" s="1249" t="s">
        <v>300</v>
      </c>
      <c r="F806" s="1244">
        <f t="shared" si="41"/>
        <v>0</v>
      </c>
      <c r="G806" s="1244"/>
      <c r="H806" s="1244"/>
      <c r="I806" s="1244"/>
      <c r="J806" s="1243"/>
      <c r="K806" s="1255"/>
      <c r="L806" s="1254"/>
      <c r="M806" s="1240"/>
      <c r="N806" s="1240"/>
      <c r="O806" s="1240"/>
      <c r="P806" s="1240"/>
      <c r="Q806" s="1240"/>
    </row>
    <row r="807" spans="1:17" s="1256" customFormat="1" ht="15" hidden="1" customHeight="1">
      <c r="A807" s="4707"/>
      <c r="B807" s="4710"/>
      <c r="C807" s="4696"/>
      <c r="D807" s="4719"/>
      <c r="E807" s="1249" t="s">
        <v>301</v>
      </c>
      <c r="F807" s="1244">
        <f t="shared" si="41"/>
        <v>0</v>
      </c>
      <c r="G807" s="1244"/>
      <c r="H807" s="1244"/>
      <c r="I807" s="1244"/>
      <c r="J807" s="1243"/>
      <c r="K807" s="1255"/>
      <c r="L807" s="1254"/>
      <c r="M807" s="1240"/>
      <c r="N807" s="1240"/>
      <c r="O807" s="1240"/>
      <c r="P807" s="1240"/>
      <c r="Q807" s="1240"/>
    </row>
    <row r="808" spans="1:17" s="1256" customFormat="1" ht="15" customHeight="1">
      <c r="A808" s="4708"/>
      <c r="B808" s="4711"/>
      <c r="C808" s="4694"/>
      <c r="D808" s="4694"/>
      <c r="E808" s="1239" t="s">
        <v>423</v>
      </c>
      <c r="F808" s="1238">
        <f>SUM(F809:F818)</f>
        <v>0</v>
      </c>
      <c r="G808" s="1238">
        <f>SUM(G809:G818)</f>
        <v>0</v>
      </c>
      <c r="H808" s="1238">
        <f>SUM(H809:H818)</f>
        <v>0</v>
      </c>
      <c r="I808" s="1238">
        <f>SUM(I809:I818)</f>
        <v>0</v>
      </c>
      <c r="J808" s="1237">
        <f>SUM(J809:J818)</f>
        <v>0</v>
      </c>
      <c r="K808" s="1255"/>
      <c r="L808" s="1254"/>
      <c r="M808" s="1240"/>
      <c r="N808" s="1240"/>
      <c r="O808" s="1240"/>
      <c r="P808" s="1240"/>
      <c r="Q808" s="1240"/>
    </row>
    <row r="809" spans="1:17" s="1256" customFormat="1" ht="15" hidden="1" customHeight="1">
      <c r="A809" s="1289"/>
      <c r="B809" s="1288"/>
      <c r="C809" s="4722">
        <v>801</v>
      </c>
      <c r="D809" s="4720" t="s">
        <v>436</v>
      </c>
      <c r="E809" s="1292" t="s">
        <v>540</v>
      </c>
      <c r="F809" s="1291">
        <f t="shared" ref="F809:F818" si="42">SUM(G809:J809)</f>
        <v>0</v>
      </c>
      <c r="G809" s="1291"/>
      <c r="H809" s="1291"/>
      <c r="I809" s="1291"/>
      <c r="J809" s="1290"/>
      <c r="K809" s="1255"/>
      <c r="L809" s="1254"/>
      <c r="M809" s="1240"/>
      <c r="N809" s="1240"/>
      <c r="O809" s="1240"/>
      <c r="P809" s="1240"/>
      <c r="Q809" s="1240"/>
    </row>
    <row r="810" spans="1:17" s="1256" customFormat="1" ht="15" hidden="1" customHeight="1">
      <c r="A810" s="1289"/>
      <c r="B810" s="1288"/>
      <c r="C810" s="4722"/>
      <c r="D810" s="4720"/>
      <c r="E810" s="1249" t="s">
        <v>186</v>
      </c>
      <c r="F810" s="1244">
        <f t="shared" si="42"/>
        <v>0</v>
      </c>
      <c r="G810" s="1244"/>
      <c r="H810" s="1244"/>
      <c r="I810" s="1244"/>
      <c r="J810" s="1243"/>
      <c r="K810" s="1255"/>
      <c r="L810" s="1254"/>
      <c r="M810" s="1240"/>
      <c r="N810" s="1240"/>
      <c r="O810" s="1240"/>
      <c r="P810" s="1240"/>
      <c r="Q810" s="1240"/>
    </row>
    <row r="811" spans="1:17" s="1256" customFormat="1" ht="15" hidden="1" customHeight="1">
      <c r="A811" s="1289"/>
      <c r="B811" s="1288"/>
      <c r="C811" s="4722"/>
      <c r="D811" s="4720"/>
      <c r="E811" s="1249" t="s">
        <v>302</v>
      </c>
      <c r="F811" s="1244">
        <f t="shared" si="42"/>
        <v>0</v>
      </c>
      <c r="G811" s="1244"/>
      <c r="H811" s="1244"/>
      <c r="I811" s="1244"/>
      <c r="J811" s="1243"/>
      <c r="K811" s="1255"/>
      <c r="L811" s="1254"/>
      <c r="M811" s="1240"/>
      <c r="N811" s="1240"/>
      <c r="O811" s="1240"/>
      <c r="P811" s="1240"/>
      <c r="Q811" s="1240"/>
    </row>
    <row r="812" spans="1:17" s="1256" customFormat="1" ht="15" hidden="1" customHeight="1">
      <c r="A812" s="1289"/>
      <c r="B812" s="1288"/>
      <c r="C812" s="4696"/>
      <c r="D812" s="4719"/>
      <c r="E812" s="1249" t="s">
        <v>303</v>
      </c>
      <c r="F812" s="1244">
        <f t="shared" si="42"/>
        <v>0</v>
      </c>
      <c r="G812" s="1244"/>
      <c r="H812" s="1244"/>
      <c r="I812" s="1244"/>
      <c r="J812" s="1243"/>
      <c r="K812" s="1255"/>
      <c r="L812" s="1254"/>
      <c r="M812" s="1240"/>
      <c r="N812" s="1240"/>
      <c r="O812" s="1240"/>
      <c r="P812" s="1240"/>
      <c r="Q812" s="1240"/>
    </row>
    <row r="813" spans="1:17" s="1256" customFormat="1" ht="15" hidden="1" customHeight="1">
      <c r="A813" s="1289"/>
      <c r="B813" s="1288"/>
      <c r="C813" s="4695">
        <v>852</v>
      </c>
      <c r="D813" s="4718" t="s">
        <v>495</v>
      </c>
      <c r="E813" s="1249" t="s">
        <v>540</v>
      </c>
      <c r="F813" s="1244">
        <f t="shared" si="42"/>
        <v>0</v>
      </c>
      <c r="G813" s="1244"/>
      <c r="H813" s="1244"/>
      <c r="I813" s="1244"/>
      <c r="J813" s="1243"/>
      <c r="K813" s="1255"/>
      <c r="L813" s="1254"/>
      <c r="M813" s="1240"/>
      <c r="N813" s="1240"/>
      <c r="O813" s="1240"/>
      <c r="P813" s="1240"/>
      <c r="Q813" s="1240"/>
    </row>
    <row r="814" spans="1:17" s="1256" customFormat="1" ht="15" hidden="1" customHeight="1">
      <c r="A814" s="1289"/>
      <c r="B814" s="1288"/>
      <c r="C814" s="4722"/>
      <c r="D814" s="4720"/>
      <c r="E814" s="1249" t="s">
        <v>186</v>
      </c>
      <c r="F814" s="1244">
        <f t="shared" si="42"/>
        <v>0</v>
      </c>
      <c r="G814" s="1244"/>
      <c r="H814" s="1244"/>
      <c r="I814" s="1244"/>
      <c r="J814" s="1243"/>
      <c r="K814" s="1255"/>
      <c r="L814" s="1254"/>
      <c r="M814" s="1240"/>
      <c r="N814" s="1240"/>
      <c r="O814" s="1240"/>
      <c r="P814" s="1240"/>
      <c r="Q814" s="1240"/>
    </row>
    <row r="815" spans="1:17" s="1256" customFormat="1" ht="15" hidden="1" customHeight="1">
      <c r="A815" s="1289"/>
      <c r="B815" s="1288"/>
      <c r="C815" s="4722"/>
      <c r="D815" s="4720"/>
      <c r="E815" s="1249" t="s">
        <v>303</v>
      </c>
      <c r="F815" s="1244">
        <f t="shared" si="42"/>
        <v>0</v>
      </c>
      <c r="G815" s="1244"/>
      <c r="H815" s="1244"/>
      <c r="I815" s="1244"/>
      <c r="J815" s="1243"/>
      <c r="K815" s="1255"/>
      <c r="L815" s="1254"/>
      <c r="M815" s="1240"/>
      <c r="N815" s="1240"/>
      <c r="O815" s="1240"/>
      <c r="P815" s="1240"/>
      <c r="Q815" s="1240"/>
    </row>
    <row r="816" spans="1:17" s="1256" customFormat="1" ht="15" hidden="1" customHeight="1">
      <c r="A816" s="1289"/>
      <c r="B816" s="1288"/>
      <c r="C816" s="4696"/>
      <c r="D816" s="4719"/>
      <c r="E816" s="1249" t="s">
        <v>302</v>
      </c>
      <c r="F816" s="1244">
        <f t="shared" si="42"/>
        <v>0</v>
      </c>
      <c r="G816" s="1244"/>
      <c r="H816" s="1244"/>
      <c r="I816" s="1244"/>
      <c r="J816" s="1243"/>
      <c r="K816" s="1255"/>
      <c r="L816" s="1254"/>
      <c r="M816" s="1240"/>
      <c r="N816" s="1240"/>
      <c r="O816" s="1240"/>
      <c r="P816" s="1240"/>
      <c r="Q816" s="1240"/>
    </row>
    <row r="817" spans="1:17" s="1256" customFormat="1" ht="15" hidden="1" customHeight="1">
      <c r="A817" s="1289"/>
      <c r="B817" s="1288"/>
      <c r="C817" s="4695">
        <v>853</v>
      </c>
      <c r="D817" s="4718" t="s">
        <v>539</v>
      </c>
      <c r="E817" s="1249" t="s">
        <v>303</v>
      </c>
      <c r="F817" s="1244">
        <f t="shared" si="42"/>
        <v>0</v>
      </c>
      <c r="G817" s="1244"/>
      <c r="H817" s="1244"/>
      <c r="I817" s="1244"/>
      <c r="J817" s="1243"/>
      <c r="K817" s="1255"/>
      <c r="L817" s="1254"/>
      <c r="M817" s="1240"/>
      <c r="N817" s="1240"/>
      <c r="O817" s="1240"/>
      <c r="P817" s="1240"/>
      <c r="Q817" s="1240"/>
    </row>
    <row r="818" spans="1:17" s="1256" customFormat="1" ht="15" hidden="1" customHeight="1">
      <c r="A818" s="1285"/>
      <c r="B818" s="1284"/>
      <c r="C818" s="4696"/>
      <c r="D818" s="4719"/>
      <c r="E818" s="1249" t="s">
        <v>186</v>
      </c>
      <c r="F818" s="1244">
        <f t="shared" si="42"/>
        <v>0</v>
      </c>
      <c r="G818" s="1244"/>
      <c r="H818" s="1244"/>
      <c r="I818" s="1244"/>
      <c r="J818" s="1243"/>
      <c r="K818" s="1255"/>
      <c r="L818" s="1254"/>
      <c r="M818" s="1240"/>
      <c r="N818" s="1240"/>
      <c r="O818" s="1240"/>
      <c r="P818" s="1240"/>
      <c r="Q818" s="1240"/>
    </row>
    <row r="819" spans="1:17" s="1256" customFormat="1" ht="22.5">
      <c r="A819" s="4706" t="s">
        <v>465</v>
      </c>
      <c r="B819" s="4709" t="s">
        <v>538</v>
      </c>
      <c r="C819" s="4695">
        <v>853</v>
      </c>
      <c r="D819" s="4718" t="s">
        <v>502</v>
      </c>
      <c r="E819" s="1253" t="s">
        <v>435</v>
      </c>
      <c r="F819" s="1252">
        <f>SUM(F820,F863)</f>
        <v>4200000</v>
      </c>
      <c r="G819" s="1252">
        <f>SUM(G820,G863)</f>
        <v>660240</v>
      </c>
      <c r="H819" s="1252">
        <f>SUM(H820,H863)</f>
        <v>0</v>
      </c>
      <c r="I819" s="1252">
        <f>SUM(I820,I863)</f>
        <v>3539760</v>
      </c>
      <c r="J819" s="1251">
        <f>SUM(J820,J863)</f>
        <v>0</v>
      </c>
      <c r="K819" s="1276"/>
      <c r="L819" s="1254"/>
      <c r="M819" s="1240"/>
      <c r="N819" s="1240"/>
      <c r="O819" s="1240"/>
      <c r="P819" s="1240"/>
      <c r="Q819" s="1240"/>
    </row>
    <row r="820" spans="1:17" s="1256" customFormat="1" ht="18" customHeight="1">
      <c r="A820" s="4707"/>
      <c r="B820" s="4710"/>
      <c r="C820" s="4722"/>
      <c r="D820" s="4720"/>
      <c r="E820" s="1250" t="s">
        <v>434</v>
      </c>
      <c r="F820" s="1238">
        <f>SUM(F821,F824,F837)</f>
        <v>4200000</v>
      </c>
      <c r="G820" s="1238">
        <f>SUM(G821,G824,G837)</f>
        <v>660240</v>
      </c>
      <c r="H820" s="1238">
        <f>SUM(H821,H824,H837)</f>
        <v>0</v>
      </c>
      <c r="I820" s="1238">
        <f>SUM(I821,I824,I837)</f>
        <v>3539760</v>
      </c>
      <c r="J820" s="1237">
        <f>SUM(J821,J824,J837)</f>
        <v>0</v>
      </c>
      <c r="K820" s="1255"/>
      <c r="L820" s="1254"/>
      <c r="M820" s="1240"/>
      <c r="N820" s="1240"/>
      <c r="O820" s="1240"/>
      <c r="P820" s="1240"/>
      <c r="Q820" s="1240"/>
    </row>
    <row r="821" spans="1:17" s="1256" customFormat="1" ht="15" hidden="1" customHeight="1">
      <c r="A821" s="4707"/>
      <c r="B821" s="4710"/>
      <c r="C821" s="4722"/>
      <c r="D821" s="4720"/>
      <c r="E821" s="1248" t="s">
        <v>433</v>
      </c>
      <c r="F821" s="1247">
        <f>SUM(F822:F823)</f>
        <v>0</v>
      </c>
      <c r="G821" s="1247">
        <f>SUM(G822:G823)</f>
        <v>0</v>
      </c>
      <c r="H821" s="1247">
        <f>SUM(H822:H823)</f>
        <v>0</v>
      </c>
      <c r="I821" s="1247">
        <f>SUM(I822:I823)</f>
        <v>0</v>
      </c>
      <c r="J821" s="1246">
        <f>SUM(J822:J823)</f>
        <v>0</v>
      </c>
      <c r="K821" s="1255"/>
      <c r="L821" s="1254"/>
      <c r="M821" s="1240"/>
      <c r="N821" s="1240"/>
      <c r="O821" s="1240"/>
      <c r="P821" s="1240"/>
      <c r="Q821" s="1240"/>
    </row>
    <row r="822" spans="1:17" s="1256" customFormat="1" ht="15" hidden="1" customHeight="1">
      <c r="A822" s="4707"/>
      <c r="B822" s="4710"/>
      <c r="C822" s="4722"/>
      <c r="D822" s="4720"/>
      <c r="E822" s="1249"/>
      <c r="F822" s="1244">
        <f>SUM(G822:J822)</f>
        <v>0</v>
      </c>
      <c r="G822" s="1244"/>
      <c r="H822" s="1244"/>
      <c r="I822" s="1244"/>
      <c r="J822" s="1243"/>
      <c r="K822" s="1255"/>
      <c r="L822" s="1254"/>
      <c r="M822" s="1240"/>
      <c r="N822" s="1240"/>
      <c r="O822" s="1240"/>
      <c r="P822" s="1240"/>
      <c r="Q822" s="1240"/>
    </row>
    <row r="823" spans="1:17" s="1256" customFormat="1" ht="15" hidden="1" customHeight="1">
      <c r="A823" s="4707"/>
      <c r="B823" s="4710"/>
      <c r="C823" s="4722"/>
      <c r="D823" s="4720"/>
      <c r="E823" s="1249"/>
      <c r="F823" s="1244">
        <f>SUM(G823:J823)</f>
        <v>0</v>
      </c>
      <c r="G823" s="1244"/>
      <c r="H823" s="1244"/>
      <c r="I823" s="1244"/>
      <c r="J823" s="1243"/>
      <c r="K823" s="1255"/>
      <c r="L823" s="1254"/>
      <c r="M823" s="1240"/>
      <c r="N823" s="1240"/>
      <c r="O823" s="1240"/>
      <c r="P823" s="1240"/>
      <c r="Q823" s="1240"/>
    </row>
    <row r="824" spans="1:17" s="1256" customFormat="1" ht="18.75" customHeight="1">
      <c r="A824" s="4707"/>
      <c r="B824" s="4710"/>
      <c r="C824" s="4722"/>
      <c r="D824" s="4720"/>
      <c r="E824" s="1248" t="s">
        <v>432</v>
      </c>
      <c r="F824" s="1247">
        <f>SUM(F825:F836)</f>
        <v>3873300</v>
      </c>
      <c r="G824" s="1247">
        <f>SUM(G825:G836)</f>
        <v>608883</v>
      </c>
      <c r="H824" s="1247">
        <f>SUM(H825:H836)</f>
        <v>0</v>
      </c>
      <c r="I824" s="1247">
        <f>SUM(I825:I836)</f>
        <v>3264417</v>
      </c>
      <c r="J824" s="1246">
        <f>SUM(J825:J836)</f>
        <v>0</v>
      </c>
      <c r="K824" s="1255"/>
      <c r="L824" s="1254"/>
      <c r="M824" s="1240"/>
      <c r="N824" s="1240"/>
      <c r="O824" s="1240"/>
      <c r="P824" s="1240"/>
      <c r="Q824" s="1240"/>
    </row>
    <row r="825" spans="1:17" s="1256" customFormat="1" ht="15" customHeight="1">
      <c r="A825" s="4707"/>
      <c r="B825" s="4710"/>
      <c r="C825" s="4722"/>
      <c r="D825" s="4720"/>
      <c r="E825" s="1249" t="s">
        <v>479</v>
      </c>
      <c r="F825" s="1244">
        <f t="shared" ref="F825:F836" si="43">SUM(G825:J825)</f>
        <v>2547015</v>
      </c>
      <c r="G825" s="1244"/>
      <c r="H825" s="1244"/>
      <c r="I825" s="1244">
        <v>2547015</v>
      </c>
      <c r="J825" s="1243"/>
      <c r="K825" s="1255"/>
      <c r="L825" s="1254"/>
      <c r="M825" s="1240"/>
      <c r="N825" s="1240"/>
      <c r="O825" s="1240"/>
      <c r="P825" s="1240"/>
      <c r="Q825" s="1240"/>
    </row>
    <row r="826" spans="1:17" s="1256" customFormat="1" ht="15" customHeight="1">
      <c r="A826" s="4707"/>
      <c r="B826" s="4710"/>
      <c r="C826" s="4722"/>
      <c r="D826" s="4720"/>
      <c r="E826" s="1249" t="s">
        <v>461</v>
      </c>
      <c r="F826" s="1244">
        <f t="shared" si="43"/>
        <v>475072</v>
      </c>
      <c r="G826" s="1244">
        <v>475072</v>
      </c>
      <c r="H826" s="1244"/>
      <c r="I826" s="1244"/>
      <c r="J826" s="1243"/>
      <c r="K826" s="1255"/>
      <c r="L826" s="1254"/>
      <c r="M826" s="1240"/>
      <c r="N826" s="1240"/>
      <c r="O826" s="1240"/>
      <c r="P826" s="1240"/>
      <c r="Q826" s="1240"/>
    </row>
    <row r="827" spans="1:17" s="1256" customFormat="1" ht="15" customHeight="1">
      <c r="A827" s="4707"/>
      <c r="B827" s="4710"/>
      <c r="C827" s="4722"/>
      <c r="D827" s="4720"/>
      <c r="E827" s="1249" t="s">
        <v>536</v>
      </c>
      <c r="F827" s="1244">
        <f t="shared" si="43"/>
        <v>170161</v>
      </c>
      <c r="G827" s="1244"/>
      <c r="H827" s="1244"/>
      <c r="I827" s="1244">
        <v>170161</v>
      </c>
      <c r="J827" s="1243"/>
      <c r="K827" s="1255"/>
      <c r="L827" s="1254"/>
      <c r="M827" s="1240"/>
      <c r="N827" s="1240"/>
      <c r="O827" s="1240"/>
      <c r="P827" s="1240"/>
      <c r="Q827" s="1240"/>
    </row>
    <row r="828" spans="1:17" s="1256" customFormat="1" ht="15" customHeight="1">
      <c r="A828" s="4707"/>
      <c r="B828" s="4710"/>
      <c r="C828" s="4722"/>
      <c r="D828" s="4720"/>
      <c r="E828" s="1249" t="s">
        <v>493</v>
      </c>
      <c r="F828" s="1244">
        <f t="shared" si="43"/>
        <v>31739</v>
      </c>
      <c r="G828" s="1244">
        <v>31739</v>
      </c>
      <c r="H828" s="1244"/>
      <c r="I828" s="1244"/>
      <c r="J828" s="1243"/>
      <c r="K828" s="1255"/>
      <c r="L828" s="1254"/>
      <c r="M828" s="1240"/>
      <c r="N828" s="1240"/>
      <c r="O828" s="1240"/>
      <c r="P828" s="1240"/>
      <c r="Q828" s="1240"/>
    </row>
    <row r="829" spans="1:17" s="1256" customFormat="1" ht="15" customHeight="1">
      <c r="A829" s="4707"/>
      <c r="B829" s="4710"/>
      <c r="C829" s="4722"/>
      <c r="D829" s="4720"/>
      <c r="E829" s="1249" t="s">
        <v>478</v>
      </c>
      <c r="F829" s="1244">
        <f t="shared" si="43"/>
        <v>467083</v>
      </c>
      <c r="G829" s="1244"/>
      <c r="H829" s="1244"/>
      <c r="I829" s="1244">
        <v>467083</v>
      </c>
      <c r="J829" s="1243"/>
      <c r="K829" s="1255"/>
      <c r="L829" s="1254"/>
      <c r="M829" s="1240"/>
      <c r="N829" s="1240"/>
      <c r="O829" s="1240"/>
      <c r="P829" s="1240"/>
      <c r="Q829" s="1240"/>
    </row>
    <row r="830" spans="1:17" s="1256" customFormat="1" ht="15" customHeight="1">
      <c r="A830" s="4707"/>
      <c r="B830" s="4710"/>
      <c r="C830" s="4722"/>
      <c r="D830" s="4720"/>
      <c r="E830" s="1249" t="s">
        <v>459</v>
      </c>
      <c r="F830" s="1244">
        <f t="shared" si="43"/>
        <v>87121</v>
      </c>
      <c r="G830" s="1244">
        <v>87121</v>
      </c>
      <c r="H830" s="1244"/>
      <c r="I830" s="1244"/>
      <c r="J830" s="1243"/>
      <c r="K830" s="1255"/>
      <c r="L830" s="1254"/>
      <c r="M830" s="1240"/>
      <c r="N830" s="1240"/>
      <c r="O830" s="1240"/>
      <c r="P830" s="1240"/>
      <c r="Q830" s="1240"/>
    </row>
    <row r="831" spans="1:17" s="1256" customFormat="1" ht="15" customHeight="1">
      <c r="A831" s="4707"/>
      <c r="B831" s="4710"/>
      <c r="C831" s="4722"/>
      <c r="D831" s="4720"/>
      <c r="E831" s="1249" t="s">
        <v>477</v>
      </c>
      <c r="F831" s="1244">
        <f t="shared" si="43"/>
        <v>66571</v>
      </c>
      <c r="G831" s="1244"/>
      <c r="H831" s="1244"/>
      <c r="I831" s="1244">
        <v>66571</v>
      </c>
      <c r="J831" s="1243"/>
      <c r="K831" s="1255"/>
      <c r="L831" s="1254"/>
      <c r="M831" s="1240"/>
      <c r="N831" s="1240"/>
      <c r="O831" s="1240"/>
      <c r="P831" s="1240"/>
      <c r="Q831" s="1240"/>
    </row>
    <row r="832" spans="1:17" s="1256" customFormat="1" ht="15" customHeight="1">
      <c r="A832" s="4707"/>
      <c r="B832" s="4710"/>
      <c r="C832" s="4722"/>
      <c r="D832" s="4720"/>
      <c r="E832" s="1249" t="s">
        <v>457</v>
      </c>
      <c r="F832" s="1244">
        <f t="shared" si="43"/>
        <v>12417</v>
      </c>
      <c r="G832" s="1244">
        <v>12417</v>
      </c>
      <c r="H832" s="1244"/>
      <c r="I832" s="1244"/>
      <c r="J832" s="1243"/>
      <c r="K832" s="1255"/>
      <c r="L832" s="1254"/>
      <c r="M832" s="1240"/>
      <c r="N832" s="1240"/>
      <c r="O832" s="1240"/>
      <c r="P832" s="1240"/>
      <c r="Q832" s="1240"/>
    </row>
    <row r="833" spans="1:17" s="1256" customFormat="1" ht="15" hidden="1" customHeight="1">
      <c r="A833" s="4707"/>
      <c r="B833" s="4710"/>
      <c r="C833" s="4722"/>
      <c r="D833" s="4720"/>
      <c r="E833" s="1249" t="s">
        <v>535</v>
      </c>
      <c r="F833" s="1244">
        <f t="shared" si="43"/>
        <v>0</v>
      </c>
      <c r="G833" s="1244"/>
      <c r="H833" s="1244"/>
      <c r="I833" s="1244"/>
      <c r="J833" s="1243"/>
      <c r="K833" s="1255"/>
      <c r="L833" s="1254"/>
      <c r="M833" s="1240"/>
      <c r="N833" s="1240"/>
      <c r="O833" s="1240"/>
      <c r="P833" s="1240"/>
      <c r="Q833" s="1240"/>
    </row>
    <row r="834" spans="1:17" s="1256" customFormat="1" ht="15" hidden="1" customHeight="1">
      <c r="A834" s="4707"/>
      <c r="B834" s="4710"/>
      <c r="C834" s="4722"/>
      <c r="D834" s="4720"/>
      <c r="E834" s="1249" t="s">
        <v>455</v>
      </c>
      <c r="F834" s="1244">
        <f t="shared" si="43"/>
        <v>0</v>
      </c>
      <c r="G834" s="1244"/>
      <c r="H834" s="1244"/>
      <c r="I834" s="1244"/>
      <c r="J834" s="1243"/>
      <c r="K834" s="1255"/>
      <c r="L834" s="1254"/>
      <c r="M834" s="1240"/>
      <c r="N834" s="1240"/>
      <c r="O834" s="1240"/>
      <c r="P834" s="1240"/>
      <c r="Q834" s="1240"/>
    </row>
    <row r="835" spans="1:17" s="1256" customFormat="1" ht="15" customHeight="1">
      <c r="A835" s="4707"/>
      <c r="B835" s="4710"/>
      <c r="C835" s="4722"/>
      <c r="D835" s="4720"/>
      <c r="E835" s="1249" t="s">
        <v>476</v>
      </c>
      <c r="F835" s="1244">
        <f t="shared" si="43"/>
        <v>13587</v>
      </c>
      <c r="G835" s="1244"/>
      <c r="H835" s="1244"/>
      <c r="I835" s="1244">
        <v>13587</v>
      </c>
      <c r="J835" s="1243"/>
      <c r="K835" s="1255"/>
      <c r="L835" s="1254"/>
      <c r="M835" s="1240"/>
      <c r="N835" s="1240"/>
      <c r="O835" s="1240"/>
      <c r="P835" s="1240"/>
      <c r="Q835" s="1240"/>
    </row>
    <row r="836" spans="1:17" s="1256" customFormat="1" ht="15" customHeight="1">
      <c r="A836" s="4707"/>
      <c r="B836" s="4710"/>
      <c r="C836" s="4722"/>
      <c r="D836" s="4720"/>
      <c r="E836" s="1249" t="s">
        <v>453</v>
      </c>
      <c r="F836" s="1244">
        <f t="shared" si="43"/>
        <v>2534</v>
      </c>
      <c r="G836" s="1244">
        <v>2534</v>
      </c>
      <c r="H836" s="1244"/>
      <c r="I836" s="1244"/>
      <c r="J836" s="1243"/>
      <c r="K836" s="1255"/>
      <c r="L836" s="1254"/>
      <c r="M836" s="1240"/>
      <c r="N836" s="1240"/>
      <c r="O836" s="1240"/>
      <c r="P836" s="1240"/>
      <c r="Q836" s="1240"/>
    </row>
    <row r="837" spans="1:17" s="1256" customFormat="1" ht="18.75" customHeight="1">
      <c r="A837" s="4707"/>
      <c r="B837" s="4710"/>
      <c r="C837" s="4722"/>
      <c r="D837" s="4720"/>
      <c r="E837" s="1248" t="s">
        <v>427</v>
      </c>
      <c r="F837" s="1247">
        <f>SUM(F838:F862)</f>
        <v>326700</v>
      </c>
      <c r="G837" s="1247">
        <f>SUM(G838:G862)</f>
        <v>51357</v>
      </c>
      <c r="H837" s="1247">
        <f>SUM(H838:H862)</f>
        <v>0</v>
      </c>
      <c r="I837" s="1247">
        <f>SUM(I838:I862)</f>
        <v>275343</v>
      </c>
      <c r="J837" s="1246">
        <f>SUM(J838:J862)</f>
        <v>0</v>
      </c>
      <c r="K837" s="1255"/>
      <c r="L837" s="1254"/>
      <c r="M837" s="1240"/>
      <c r="N837" s="1240"/>
      <c r="O837" s="1240"/>
      <c r="P837" s="1240"/>
      <c r="Q837" s="1240"/>
    </row>
    <row r="838" spans="1:17" s="1256" customFormat="1" ht="15" customHeight="1">
      <c r="A838" s="4707"/>
      <c r="B838" s="4710"/>
      <c r="C838" s="4722"/>
      <c r="D838" s="4720"/>
      <c r="E838" s="1249" t="s">
        <v>534</v>
      </c>
      <c r="F838" s="1244">
        <f t="shared" ref="F838:F862" si="44">SUM(G838:J838)</f>
        <v>5900</v>
      </c>
      <c r="G838" s="1244"/>
      <c r="H838" s="1244"/>
      <c r="I838" s="1244">
        <v>5900</v>
      </c>
      <c r="J838" s="1243"/>
      <c r="K838" s="1255"/>
      <c r="L838" s="1254"/>
      <c r="M838" s="1240"/>
      <c r="N838" s="1240"/>
      <c r="O838" s="1240"/>
      <c r="P838" s="1240"/>
      <c r="Q838" s="1240"/>
    </row>
    <row r="839" spans="1:17" s="1256" customFormat="1" ht="15" customHeight="1">
      <c r="A839" s="4707"/>
      <c r="B839" s="4710"/>
      <c r="C839" s="4722"/>
      <c r="D839" s="4720"/>
      <c r="E839" s="1249" t="s">
        <v>515</v>
      </c>
      <c r="F839" s="1244">
        <f t="shared" si="44"/>
        <v>1100</v>
      </c>
      <c r="G839" s="1244">
        <v>1100</v>
      </c>
      <c r="H839" s="1244"/>
      <c r="I839" s="1244"/>
      <c r="J839" s="1243"/>
      <c r="K839" s="1255"/>
      <c r="L839" s="1254"/>
      <c r="M839" s="1240"/>
      <c r="N839" s="1240"/>
      <c r="O839" s="1240"/>
      <c r="P839" s="1240"/>
      <c r="Q839" s="1240"/>
    </row>
    <row r="840" spans="1:17" s="1256" customFormat="1" ht="15" customHeight="1">
      <c r="A840" s="4707"/>
      <c r="B840" s="4710"/>
      <c r="C840" s="4722"/>
      <c r="D840" s="4720"/>
      <c r="E840" s="1249" t="s">
        <v>533</v>
      </c>
      <c r="F840" s="1244">
        <f t="shared" si="44"/>
        <v>62366</v>
      </c>
      <c r="G840" s="1244"/>
      <c r="H840" s="1244"/>
      <c r="I840" s="1244">
        <v>62366</v>
      </c>
      <c r="J840" s="1243"/>
      <c r="K840" s="1255"/>
      <c r="L840" s="1254"/>
      <c r="M840" s="1240"/>
      <c r="N840" s="1240"/>
      <c r="O840" s="1240"/>
      <c r="P840" s="1240"/>
      <c r="Q840" s="1240"/>
    </row>
    <row r="841" spans="1:17" s="1256" customFormat="1" ht="15" customHeight="1">
      <c r="A841" s="4707"/>
      <c r="B841" s="4710"/>
      <c r="C841" s="4722"/>
      <c r="D841" s="4720"/>
      <c r="E841" s="1249" t="s">
        <v>449</v>
      </c>
      <c r="F841" s="1244">
        <f t="shared" si="44"/>
        <v>11634</v>
      </c>
      <c r="G841" s="1244">
        <v>11634</v>
      </c>
      <c r="H841" s="1244"/>
      <c r="I841" s="1244"/>
      <c r="J841" s="1243"/>
      <c r="K841" s="1255"/>
      <c r="L841" s="1254"/>
      <c r="M841" s="1240"/>
      <c r="N841" s="1240"/>
      <c r="O841" s="1240"/>
      <c r="P841" s="1240"/>
      <c r="Q841" s="1240"/>
    </row>
    <row r="842" spans="1:17" s="1256" customFormat="1" ht="15" customHeight="1">
      <c r="A842" s="4707"/>
      <c r="B842" s="4710"/>
      <c r="C842" s="4722"/>
      <c r="D842" s="4720"/>
      <c r="E842" s="1249" t="s">
        <v>532</v>
      </c>
      <c r="F842" s="1244">
        <f t="shared" si="44"/>
        <v>76695</v>
      </c>
      <c r="G842" s="1244"/>
      <c r="H842" s="1244"/>
      <c r="I842" s="1244">
        <v>76695</v>
      </c>
      <c r="J842" s="1243"/>
      <c r="K842" s="1255"/>
      <c r="L842" s="1254"/>
      <c r="M842" s="1240"/>
      <c r="N842" s="1240"/>
      <c r="O842" s="1240"/>
      <c r="P842" s="1240"/>
      <c r="Q842" s="1240"/>
    </row>
    <row r="843" spans="1:17" s="1256" customFormat="1" ht="15" customHeight="1">
      <c r="A843" s="4707"/>
      <c r="B843" s="4710"/>
      <c r="C843" s="4722"/>
      <c r="D843" s="4720"/>
      <c r="E843" s="1249" t="s">
        <v>447</v>
      </c>
      <c r="F843" s="1244">
        <f t="shared" si="44"/>
        <v>14305</v>
      </c>
      <c r="G843" s="1244">
        <v>14305</v>
      </c>
      <c r="H843" s="1244"/>
      <c r="I843" s="1244"/>
      <c r="J843" s="1243"/>
      <c r="K843" s="1255"/>
      <c r="L843" s="1254"/>
      <c r="M843" s="1240"/>
      <c r="N843" s="1240"/>
      <c r="O843" s="1240"/>
      <c r="P843" s="1240"/>
      <c r="Q843" s="1240"/>
    </row>
    <row r="844" spans="1:17" s="1256" customFormat="1" ht="15" customHeight="1">
      <c r="A844" s="4707"/>
      <c r="B844" s="4710"/>
      <c r="C844" s="4722"/>
      <c r="D844" s="4720"/>
      <c r="E844" s="1249" t="s">
        <v>531</v>
      </c>
      <c r="F844" s="1244">
        <f t="shared" si="44"/>
        <v>11378</v>
      </c>
      <c r="G844" s="1244"/>
      <c r="H844" s="1244"/>
      <c r="I844" s="1244">
        <v>11378</v>
      </c>
      <c r="J844" s="1243"/>
      <c r="K844" s="1255"/>
      <c r="L844" s="1254"/>
      <c r="M844" s="1240"/>
      <c r="N844" s="1240"/>
      <c r="O844" s="1240"/>
      <c r="P844" s="1240"/>
      <c r="Q844" s="1240"/>
    </row>
    <row r="845" spans="1:17" s="1256" customFormat="1" ht="15" customHeight="1">
      <c r="A845" s="4707"/>
      <c r="B845" s="4710"/>
      <c r="C845" s="4722"/>
      <c r="D845" s="4720"/>
      <c r="E845" s="1249" t="s">
        <v>513</v>
      </c>
      <c r="F845" s="1244">
        <f t="shared" si="44"/>
        <v>2122</v>
      </c>
      <c r="G845" s="1244">
        <v>2122</v>
      </c>
      <c r="H845" s="1244"/>
      <c r="I845" s="1244"/>
      <c r="J845" s="1243"/>
      <c r="K845" s="1255"/>
      <c r="L845" s="1254"/>
      <c r="M845" s="1240"/>
      <c r="N845" s="1240"/>
      <c r="O845" s="1240"/>
      <c r="P845" s="1240"/>
      <c r="Q845" s="1240"/>
    </row>
    <row r="846" spans="1:17" s="1256" customFormat="1" ht="15" customHeight="1">
      <c r="A846" s="4707"/>
      <c r="B846" s="4710"/>
      <c r="C846" s="4722"/>
      <c r="D846" s="4720"/>
      <c r="E846" s="1249" t="s">
        <v>530</v>
      </c>
      <c r="F846" s="1244">
        <f t="shared" si="44"/>
        <v>2781</v>
      </c>
      <c r="G846" s="1244"/>
      <c r="H846" s="1244"/>
      <c r="I846" s="1244">
        <v>2781</v>
      </c>
      <c r="J846" s="1243"/>
      <c r="K846" s="1255"/>
      <c r="L846" s="1254"/>
      <c r="M846" s="1240"/>
      <c r="N846" s="1240"/>
      <c r="O846" s="1240"/>
      <c r="P846" s="1240"/>
      <c r="Q846" s="1240"/>
    </row>
    <row r="847" spans="1:17" s="1256" customFormat="1" ht="15" customHeight="1">
      <c r="A847" s="4707"/>
      <c r="B847" s="4710"/>
      <c r="C847" s="4722"/>
      <c r="D847" s="4720"/>
      <c r="E847" s="1249" t="s">
        <v>511</v>
      </c>
      <c r="F847" s="1244">
        <f t="shared" si="44"/>
        <v>519</v>
      </c>
      <c r="G847" s="1244">
        <v>519</v>
      </c>
      <c r="H847" s="1244"/>
      <c r="I847" s="1244"/>
      <c r="J847" s="1243"/>
      <c r="K847" s="1255"/>
      <c r="L847" s="1254"/>
      <c r="M847" s="1240"/>
      <c r="N847" s="1240"/>
      <c r="O847" s="1240"/>
      <c r="P847" s="1240"/>
      <c r="Q847" s="1240"/>
    </row>
    <row r="848" spans="1:17" s="1256" customFormat="1" ht="15" customHeight="1">
      <c r="A848" s="4707"/>
      <c r="B848" s="4710"/>
      <c r="C848" s="4722"/>
      <c r="D848" s="4720"/>
      <c r="E848" s="1249" t="s">
        <v>529</v>
      </c>
      <c r="F848" s="1244">
        <f t="shared" si="44"/>
        <v>56805</v>
      </c>
      <c r="G848" s="1244"/>
      <c r="H848" s="1244"/>
      <c r="I848" s="1244">
        <v>56805</v>
      </c>
      <c r="J848" s="1243"/>
      <c r="K848" s="1255"/>
      <c r="L848" s="1254"/>
      <c r="M848" s="1240"/>
      <c r="N848" s="1240"/>
      <c r="O848" s="1240"/>
      <c r="P848" s="1240"/>
      <c r="Q848" s="1240"/>
    </row>
    <row r="849" spans="1:17" s="1256" customFormat="1" ht="15" customHeight="1">
      <c r="A849" s="4707"/>
      <c r="B849" s="4710"/>
      <c r="C849" s="4722"/>
      <c r="D849" s="4720"/>
      <c r="E849" s="1249" t="s">
        <v>445</v>
      </c>
      <c r="F849" s="1244">
        <f t="shared" si="44"/>
        <v>10595</v>
      </c>
      <c r="G849" s="1244">
        <v>10595</v>
      </c>
      <c r="H849" s="1244"/>
      <c r="I849" s="1244"/>
      <c r="J849" s="1243"/>
      <c r="K849" s="1255"/>
      <c r="L849" s="1254"/>
      <c r="M849" s="1240"/>
      <c r="N849" s="1240"/>
      <c r="O849" s="1240"/>
      <c r="P849" s="1240"/>
      <c r="Q849" s="1240"/>
    </row>
    <row r="850" spans="1:17" s="1256" customFormat="1" ht="15" customHeight="1">
      <c r="A850" s="4707"/>
      <c r="B850" s="4710"/>
      <c r="C850" s="4722"/>
      <c r="D850" s="4720"/>
      <c r="E850" s="1249" t="s">
        <v>528</v>
      </c>
      <c r="F850" s="1244">
        <f t="shared" si="44"/>
        <v>8428</v>
      </c>
      <c r="G850" s="1244"/>
      <c r="H850" s="1244"/>
      <c r="I850" s="1244">
        <v>8428</v>
      </c>
      <c r="J850" s="1243"/>
      <c r="K850" s="1255"/>
      <c r="L850" s="1254"/>
      <c r="M850" s="1240"/>
      <c r="N850" s="1240"/>
      <c r="O850" s="1240"/>
      <c r="P850" s="1240"/>
      <c r="Q850" s="1240"/>
    </row>
    <row r="851" spans="1:17" s="1256" customFormat="1" ht="15" customHeight="1">
      <c r="A851" s="4707"/>
      <c r="B851" s="4710"/>
      <c r="C851" s="4722"/>
      <c r="D851" s="4720"/>
      <c r="E851" s="1249" t="s">
        <v>443</v>
      </c>
      <c r="F851" s="1244">
        <f t="shared" si="44"/>
        <v>1572</v>
      </c>
      <c r="G851" s="1244">
        <v>1572</v>
      </c>
      <c r="H851" s="1244"/>
      <c r="I851" s="1244"/>
      <c r="J851" s="1243"/>
      <c r="K851" s="1255"/>
      <c r="L851" s="1254"/>
      <c r="M851" s="1240"/>
      <c r="N851" s="1240"/>
      <c r="O851" s="1240"/>
      <c r="P851" s="1240"/>
      <c r="Q851" s="1240"/>
    </row>
    <row r="852" spans="1:17" ht="15" hidden="1" customHeight="1">
      <c r="A852" s="4707"/>
      <c r="B852" s="4710"/>
      <c r="C852" s="4722"/>
      <c r="D852" s="4720"/>
      <c r="E852" s="1249" t="s">
        <v>527</v>
      </c>
      <c r="F852" s="1244">
        <f t="shared" si="44"/>
        <v>0</v>
      </c>
      <c r="G852" s="1244"/>
      <c r="H852" s="1244"/>
      <c r="I852" s="1244"/>
      <c r="J852" s="1243"/>
    </row>
    <row r="853" spans="1:17" ht="15" hidden="1" customHeight="1">
      <c r="A853" s="4707"/>
      <c r="B853" s="4710"/>
      <c r="C853" s="4722"/>
      <c r="D853" s="4720"/>
      <c r="E853" s="1249" t="s">
        <v>526</v>
      </c>
      <c r="F853" s="1244">
        <f t="shared" si="44"/>
        <v>0</v>
      </c>
      <c r="G853" s="1244"/>
      <c r="H853" s="1244"/>
      <c r="I853" s="1244"/>
      <c r="J853" s="1243"/>
    </row>
    <row r="854" spans="1:17" s="1256" customFormat="1" ht="15" customHeight="1">
      <c r="A854" s="4707"/>
      <c r="B854" s="4710"/>
      <c r="C854" s="4722"/>
      <c r="D854" s="4720"/>
      <c r="E854" s="1249" t="s">
        <v>524</v>
      </c>
      <c r="F854" s="1244">
        <f t="shared" si="44"/>
        <v>12642</v>
      </c>
      <c r="G854" s="1244"/>
      <c r="H854" s="1244"/>
      <c r="I854" s="1244">
        <v>12642</v>
      </c>
      <c r="J854" s="1243"/>
      <c r="K854" s="1255"/>
      <c r="L854" s="1254"/>
      <c r="M854" s="1240"/>
      <c r="N854" s="1240"/>
      <c r="O854" s="1240"/>
      <c r="P854" s="1240"/>
      <c r="Q854" s="1240"/>
    </row>
    <row r="855" spans="1:17" s="1256" customFormat="1" ht="15" customHeight="1">
      <c r="A855" s="4707"/>
      <c r="B855" s="4710"/>
      <c r="C855" s="4722"/>
      <c r="D855" s="4720"/>
      <c r="E855" s="1249" t="s">
        <v>466</v>
      </c>
      <c r="F855" s="1244">
        <f t="shared" si="44"/>
        <v>2358</v>
      </c>
      <c r="G855" s="1244">
        <v>2358</v>
      </c>
      <c r="H855" s="1244"/>
      <c r="I855" s="1244"/>
      <c r="J855" s="1243"/>
      <c r="K855" s="1255"/>
      <c r="L855" s="1254"/>
      <c r="M855" s="1240"/>
      <c r="N855" s="1240"/>
      <c r="O855" s="1240"/>
      <c r="P855" s="1240"/>
      <c r="Q855" s="1240"/>
    </row>
    <row r="856" spans="1:17" s="1256" customFormat="1" ht="15" customHeight="1">
      <c r="A856" s="4707"/>
      <c r="B856" s="4710"/>
      <c r="C856" s="4722"/>
      <c r="D856" s="4720"/>
      <c r="E856" s="1249" t="s">
        <v>523</v>
      </c>
      <c r="F856" s="1244">
        <f t="shared" si="44"/>
        <v>2107</v>
      </c>
      <c r="G856" s="1244"/>
      <c r="H856" s="1244"/>
      <c r="I856" s="1244">
        <v>2107</v>
      </c>
      <c r="J856" s="1243"/>
      <c r="K856" s="1255"/>
      <c r="L856" s="1254"/>
      <c r="M856" s="1240"/>
      <c r="N856" s="1240"/>
      <c r="O856" s="1240"/>
      <c r="P856" s="1240"/>
      <c r="Q856" s="1240"/>
    </row>
    <row r="857" spans="1:17" s="1256" customFormat="1" ht="15" customHeight="1">
      <c r="A857" s="4707"/>
      <c r="B857" s="4710"/>
      <c r="C857" s="4722"/>
      <c r="D857" s="4720"/>
      <c r="E857" s="1249" t="s">
        <v>522</v>
      </c>
      <c r="F857" s="1244">
        <f t="shared" si="44"/>
        <v>393</v>
      </c>
      <c r="G857" s="1244">
        <v>393</v>
      </c>
      <c r="H857" s="1244"/>
      <c r="I857" s="1244"/>
      <c r="J857" s="1243"/>
      <c r="K857" s="1255"/>
      <c r="L857" s="1254"/>
      <c r="M857" s="1240"/>
      <c r="N857" s="1240"/>
      <c r="O857" s="1240"/>
      <c r="P857" s="1240"/>
      <c r="Q857" s="1240"/>
    </row>
    <row r="858" spans="1:17" s="1256" customFormat="1" ht="15" customHeight="1">
      <c r="A858" s="4707"/>
      <c r="B858" s="4710"/>
      <c r="C858" s="4722"/>
      <c r="D858" s="4720"/>
      <c r="E858" s="1249" t="s">
        <v>520</v>
      </c>
      <c r="F858" s="1244">
        <f t="shared" si="44"/>
        <v>843</v>
      </c>
      <c r="G858" s="1244"/>
      <c r="H858" s="1244"/>
      <c r="I858" s="1244">
        <v>843</v>
      </c>
      <c r="J858" s="1243"/>
      <c r="K858" s="1255"/>
      <c r="L858" s="1254"/>
      <c r="M858" s="1240"/>
      <c r="N858" s="1240"/>
      <c r="O858" s="1240"/>
      <c r="P858" s="1240"/>
      <c r="Q858" s="1240"/>
    </row>
    <row r="859" spans="1:17" s="1256" customFormat="1" ht="15" customHeight="1">
      <c r="A859" s="4707"/>
      <c r="B859" s="4710"/>
      <c r="C859" s="4722"/>
      <c r="D859" s="4720"/>
      <c r="E859" s="1249" t="s">
        <v>507</v>
      </c>
      <c r="F859" s="1244">
        <f t="shared" si="44"/>
        <v>157</v>
      </c>
      <c r="G859" s="1244">
        <v>157</v>
      </c>
      <c r="H859" s="1244"/>
      <c r="I859" s="1244"/>
      <c r="J859" s="1243"/>
      <c r="K859" s="1255"/>
      <c r="L859" s="1254"/>
      <c r="M859" s="1240"/>
      <c r="N859" s="1240"/>
      <c r="O859" s="1240"/>
      <c r="P859" s="1240"/>
      <c r="Q859" s="1240"/>
    </row>
    <row r="860" spans="1:17" s="1256" customFormat="1" ht="15" customHeight="1">
      <c r="A860" s="4707"/>
      <c r="B860" s="4710"/>
      <c r="C860" s="4722"/>
      <c r="D860" s="4720"/>
      <c r="E860" s="1249" t="s">
        <v>519</v>
      </c>
      <c r="F860" s="1244">
        <f t="shared" si="44"/>
        <v>35398</v>
      </c>
      <c r="G860" s="1244"/>
      <c r="H860" s="1244"/>
      <c r="I860" s="1244">
        <v>35398</v>
      </c>
      <c r="J860" s="1243"/>
      <c r="K860" s="1255"/>
      <c r="L860" s="1254"/>
      <c r="M860" s="1240"/>
      <c r="N860" s="1240"/>
      <c r="O860" s="1240"/>
      <c r="P860" s="1240"/>
      <c r="Q860" s="1240"/>
    </row>
    <row r="861" spans="1:17" s="1256" customFormat="1" ht="15" customHeight="1">
      <c r="A861" s="4707"/>
      <c r="B861" s="4710"/>
      <c r="C861" s="4722"/>
      <c r="D861" s="4720"/>
      <c r="E861" s="1249" t="s">
        <v>485</v>
      </c>
      <c r="F861" s="1244">
        <f t="shared" si="44"/>
        <v>6602</v>
      </c>
      <c r="G861" s="1244">
        <v>6602</v>
      </c>
      <c r="H861" s="1244"/>
      <c r="I861" s="1244"/>
      <c r="J861" s="1243"/>
      <c r="K861" s="1255"/>
      <c r="L861" s="1254"/>
      <c r="M861" s="1240"/>
      <c r="N861" s="1240"/>
      <c r="O861" s="1240"/>
      <c r="P861" s="1240"/>
      <c r="Q861" s="1240"/>
    </row>
    <row r="862" spans="1:17" s="1256" customFormat="1" ht="15" hidden="1" customHeight="1">
      <c r="A862" s="4707"/>
      <c r="B862" s="4710"/>
      <c r="C862" s="4722"/>
      <c r="D862" s="4720"/>
      <c r="E862" s="1249" t="s">
        <v>501</v>
      </c>
      <c r="F862" s="1244">
        <f t="shared" si="44"/>
        <v>0</v>
      </c>
      <c r="G862" s="1244"/>
      <c r="H862" s="1244"/>
      <c r="I862" s="1244"/>
      <c r="J862" s="1243"/>
      <c r="K862" s="1255"/>
      <c r="L862" s="1254"/>
      <c r="M862" s="1240"/>
      <c r="N862" s="1240"/>
      <c r="O862" s="1240"/>
      <c r="P862" s="1240"/>
      <c r="Q862" s="1240"/>
    </row>
    <row r="863" spans="1:17" s="1256" customFormat="1" ht="12">
      <c r="A863" s="4708"/>
      <c r="B863" s="4711"/>
      <c r="C863" s="4696"/>
      <c r="D863" s="4719"/>
      <c r="E863" s="1239" t="s">
        <v>423</v>
      </c>
      <c r="F863" s="1238">
        <f>SUM(F864:F865)</f>
        <v>0</v>
      </c>
      <c r="G863" s="1238">
        <f>SUM(G864:G865)</f>
        <v>0</v>
      </c>
      <c r="H863" s="1238">
        <f>SUM(H864:H865)</f>
        <v>0</v>
      </c>
      <c r="I863" s="1238">
        <f>SUM(I864:I865)</f>
        <v>0</v>
      </c>
      <c r="J863" s="1237">
        <f>SUM(J864:J865)</f>
        <v>0</v>
      </c>
      <c r="K863" s="1255"/>
      <c r="L863" s="1254"/>
      <c r="M863" s="1240"/>
      <c r="N863" s="1240"/>
      <c r="O863" s="1240"/>
      <c r="P863" s="1240"/>
      <c r="Q863" s="1240"/>
    </row>
    <row r="864" spans="1:17" s="1256" customFormat="1" ht="15" hidden="1" customHeight="1">
      <c r="A864" s="1300"/>
      <c r="B864" s="1299"/>
      <c r="C864" s="1298"/>
      <c r="D864" s="1297"/>
      <c r="E864" s="1236" t="s">
        <v>500</v>
      </c>
      <c r="F864" s="1230">
        <f>SUM(G864:J864)</f>
        <v>0</v>
      </c>
      <c r="G864" s="1230"/>
      <c r="H864" s="1230"/>
      <c r="I864" s="1230"/>
      <c r="J864" s="1229"/>
      <c r="K864" s="1255"/>
      <c r="L864" s="1254"/>
      <c r="M864" s="1240"/>
      <c r="N864" s="1240"/>
      <c r="O864" s="1240"/>
      <c r="P864" s="1240"/>
      <c r="Q864" s="1240"/>
    </row>
    <row r="865" spans="1:17" s="1256" customFormat="1" ht="15" hidden="1" customHeight="1">
      <c r="A865" s="1296"/>
      <c r="B865" s="1295"/>
      <c r="C865" s="1294"/>
      <c r="D865" s="1293"/>
      <c r="E865" s="1231">
        <v>6069</v>
      </c>
      <c r="F865" s="1230">
        <f>SUM(G865:J865)</f>
        <v>0</v>
      </c>
      <c r="G865" s="1230"/>
      <c r="H865" s="1230"/>
      <c r="I865" s="1230"/>
      <c r="J865" s="1229"/>
      <c r="K865" s="1255"/>
      <c r="L865" s="1254"/>
      <c r="M865" s="1240"/>
      <c r="N865" s="1240"/>
      <c r="O865" s="1240"/>
      <c r="P865" s="1240"/>
      <c r="Q865" s="1240"/>
    </row>
    <row r="866" spans="1:17" s="1256" customFormat="1" ht="17.25" customHeight="1">
      <c r="A866" s="4706" t="s">
        <v>442</v>
      </c>
      <c r="B866" s="4709" t="s">
        <v>537</v>
      </c>
      <c r="C866" s="4695">
        <v>853</v>
      </c>
      <c r="D866" s="4718" t="s">
        <v>502</v>
      </c>
      <c r="E866" s="1253" t="s">
        <v>435</v>
      </c>
      <c r="F866" s="1252">
        <f>SUM(F867,F913)</f>
        <v>16893900</v>
      </c>
      <c r="G866" s="1252">
        <f>SUM(G867,G913)</f>
        <v>2534084</v>
      </c>
      <c r="H866" s="1252">
        <f>SUM(H867,H913)</f>
        <v>0</v>
      </c>
      <c r="I866" s="1252">
        <f>SUM(I867,I913)</f>
        <v>14359816</v>
      </c>
      <c r="J866" s="1251">
        <f>SUM(J867,J913)</f>
        <v>0</v>
      </c>
      <c r="K866" s="1255"/>
      <c r="L866" s="1254"/>
      <c r="M866" s="1240"/>
      <c r="N866" s="1240"/>
      <c r="O866" s="1240"/>
      <c r="P866" s="1240"/>
      <c r="Q866" s="1240"/>
    </row>
    <row r="867" spans="1:17" s="1256" customFormat="1" ht="18.75" customHeight="1">
      <c r="A867" s="4707"/>
      <c r="B867" s="4710"/>
      <c r="C867" s="4722"/>
      <c r="D867" s="4720"/>
      <c r="E867" s="1250" t="s">
        <v>434</v>
      </c>
      <c r="F867" s="1238">
        <f>SUM(F868,F871,F884)</f>
        <v>16893900</v>
      </c>
      <c r="G867" s="1238">
        <f>SUM(G868,G871,G884)</f>
        <v>2534084</v>
      </c>
      <c r="H867" s="1238">
        <f>SUM(H868,H871,H884)</f>
        <v>0</v>
      </c>
      <c r="I867" s="1238">
        <f>SUM(I868,I871,I884)</f>
        <v>14359816</v>
      </c>
      <c r="J867" s="1237">
        <f>SUM(J868,J871,J884)</f>
        <v>0</v>
      </c>
      <c r="K867" s="1272"/>
      <c r="L867" s="1254"/>
      <c r="M867" s="1254"/>
      <c r="N867" s="1254"/>
      <c r="O867" s="1254"/>
      <c r="P867" s="1254"/>
      <c r="Q867" s="1240"/>
    </row>
    <row r="868" spans="1:17" s="1256" customFormat="1" ht="15" hidden="1" customHeight="1">
      <c r="A868" s="4707"/>
      <c r="B868" s="4710"/>
      <c r="C868" s="4722"/>
      <c r="D868" s="4720"/>
      <c r="E868" s="1248" t="s">
        <v>433</v>
      </c>
      <c r="F868" s="1247">
        <f>SUM(F869:F870)</f>
        <v>0</v>
      </c>
      <c r="G868" s="1247">
        <f>SUM(G869:G870)</f>
        <v>0</v>
      </c>
      <c r="H868" s="1247">
        <f>SUM(H869:H870)</f>
        <v>0</v>
      </c>
      <c r="I868" s="1247">
        <f>SUM(I869:I870)</f>
        <v>0</v>
      </c>
      <c r="J868" s="1246">
        <f>SUM(J869:J870)</f>
        <v>0</v>
      </c>
      <c r="K868" s="1255"/>
      <c r="L868" s="1254"/>
      <c r="M868" s="1240"/>
      <c r="N868" s="1240"/>
      <c r="O868" s="1240"/>
      <c r="P868" s="1240"/>
      <c r="Q868" s="1240"/>
    </row>
    <row r="869" spans="1:17" s="1256" customFormat="1" ht="15" hidden="1" customHeight="1">
      <c r="A869" s="4707"/>
      <c r="B869" s="4710"/>
      <c r="C869" s="4722"/>
      <c r="D869" s="4720"/>
      <c r="E869" s="1249"/>
      <c r="F869" s="1244">
        <f>SUM(G869:J869)</f>
        <v>0</v>
      </c>
      <c r="G869" s="1244"/>
      <c r="H869" s="1244"/>
      <c r="I869" s="1244"/>
      <c r="J869" s="1243"/>
      <c r="K869" s="1255"/>
      <c r="L869" s="1254"/>
      <c r="M869" s="1240"/>
      <c r="N869" s="1240"/>
      <c r="O869" s="1240"/>
      <c r="P869" s="1240"/>
      <c r="Q869" s="1240"/>
    </row>
    <row r="870" spans="1:17" s="1256" customFormat="1" ht="15" hidden="1" customHeight="1">
      <c r="A870" s="4707"/>
      <c r="B870" s="4710"/>
      <c r="C870" s="4722"/>
      <c r="D870" s="4720"/>
      <c r="E870" s="1249"/>
      <c r="F870" s="1244">
        <f>SUM(G870:J870)</f>
        <v>0</v>
      </c>
      <c r="G870" s="1244"/>
      <c r="H870" s="1244"/>
      <c r="I870" s="1244"/>
      <c r="J870" s="1243"/>
      <c r="K870" s="1255"/>
      <c r="L870" s="1254"/>
      <c r="M870" s="1240"/>
      <c r="N870" s="1240"/>
      <c r="O870" s="1240"/>
      <c r="P870" s="1240"/>
      <c r="Q870" s="1240"/>
    </row>
    <row r="871" spans="1:17" s="1256" customFormat="1" ht="19.5" customHeight="1">
      <c r="A871" s="4707"/>
      <c r="B871" s="4710"/>
      <c r="C871" s="4722"/>
      <c r="D871" s="4720"/>
      <c r="E871" s="1248" t="s">
        <v>432</v>
      </c>
      <c r="F871" s="1247">
        <f>SUM(F872:F883)</f>
        <v>15233230</v>
      </c>
      <c r="G871" s="1247">
        <f>SUM(G872:G883)</f>
        <v>2284984</v>
      </c>
      <c r="H871" s="1247">
        <f>SUM(H872:H883)</f>
        <v>0</v>
      </c>
      <c r="I871" s="1247">
        <f>SUM(I872:I883)</f>
        <v>12948246</v>
      </c>
      <c r="J871" s="1246">
        <f>SUM(J872:J883)</f>
        <v>0</v>
      </c>
      <c r="K871" s="1272"/>
      <c r="L871" s="1254"/>
      <c r="M871" s="1254"/>
      <c r="N871" s="1254"/>
      <c r="O871" s="1254"/>
      <c r="P871" s="1254"/>
      <c r="Q871" s="1240"/>
    </row>
    <row r="872" spans="1:17" s="1256" customFormat="1" ht="12.95" customHeight="1">
      <c r="A872" s="4707"/>
      <c r="B872" s="4710"/>
      <c r="C872" s="4722"/>
      <c r="D872" s="4720"/>
      <c r="E872" s="1249" t="s">
        <v>479</v>
      </c>
      <c r="F872" s="1244">
        <f t="shared" ref="F872:F883" si="45">SUM(G872:J872)</f>
        <v>10092576</v>
      </c>
      <c r="G872" s="1244"/>
      <c r="H872" s="1244"/>
      <c r="I872" s="1244">
        <v>10092576</v>
      </c>
      <c r="J872" s="1243"/>
      <c r="K872" s="1280"/>
      <c r="L872" s="1279"/>
      <c r="M872" s="1279"/>
      <c r="N872" s="1279"/>
      <c r="O872" s="1279"/>
      <c r="P872" s="1254"/>
      <c r="Q872" s="1240"/>
    </row>
    <row r="873" spans="1:17" s="1256" customFormat="1" ht="12.95" customHeight="1">
      <c r="A873" s="4707"/>
      <c r="B873" s="4710"/>
      <c r="C873" s="4722"/>
      <c r="D873" s="4720"/>
      <c r="E873" s="1249" t="s">
        <v>461</v>
      </c>
      <c r="F873" s="1244">
        <f t="shared" si="45"/>
        <v>1781043</v>
      </c>
      <c r="G873" s="1244">
        <v>1781043</v>
      </c>
      <c r="H873" s="1244"/>
      <c r="I873" s="1244"/>
      <c r="J873" s="1243"/>
      <c r="K873" s="1255"/>
      <c r="L873" s="1254"/>
      <c r="M873" s="1240"/>
      <c r="N873" s="1240"/>
      <c r="O873" s="1240"/>
      <c r="P873" s="1240"/>
      <c r="Q873" s="1240"/>
    </row>
    <row r="874" spans="1:17" s="1256" customFormat="1" ht="12.95" customHeight="1">
      <c r="A874" s="4707"/>
      <c r="B874" s="4710"/>
      <c r="C874" s="4722"/>
      <c r="D874" s="4720"/>
      <c r="E874" s="1249" t="s">
        <v>536</v>
      </c>
      <c r="F874" s="1244">
        <f t="shared" si="45"/>
        <v>674442</v>
      </c>
      <c r="G874" s="1244"/>
      <c r="H874" s="1244"/>
      <c r="I874" s="1244">
        <v>674442</v>
      </c>
      <c r="J874" s="1243"/>
      <c r="K874" s="1255"/>
      <c r="L874" s="1254"/>
      <c r="M874" s="1240"/>
      <c r="N874" s="1240"/>
      <c r="O874" s="1240"/>
      <c r="P874" s="1240"/>
      <c r="Q874" s="1240"/>
    </row>
    <row r="875" spans="1:17" s="1256" customFormat="1" ht="12.95" customHeight="1">
      <c r="A875" s="4707"/>
      <c r="B875" s="4710"/>
      <c r="C875" s="4722"/>
      <c r="D875" s="4720"/>
      <c r="E875" s="1249" t="s">
        <v>493</v>
      </c>
      <c r="F875" s="1244">
        <f t="shared" si="45"/>
        <v>119019</v>
      </c>
      <c r="G875" s="1244">
        <v>119019</v>
      </c>
      <c r="H875" s="1244"/>
      <c r="I875" s="1244"/>
      <c r="J875" s="1243"/>
      <c r="K875" s="1255"/>
      <c r="L875" s="1254"/>
      <c r="M875" s="1240"/>
      <c r="N875" s="1240"/>
      <c r="O875" s="1240"/>
      <c r="P875" s="1240"/>
      <c r="Q875" s="1240"/>
    </row>
    <row r="876" spans="1:17" s="1256" customFormat="1" ht="12.95" customHeight="1">
      <c r="A876" s="4707"/>
      <c r="B876" s="4710"/>
      <c r="C876" s="4722"/>
      <c r="D876" s="4720"/>
      <c r="E876" s="1249" t="s">
        <v>478</v>
      </c>
      <c r="F876" s="1244">
        <f t="shared" si="45"/>
        <v>1850851</v>
      </c>
      <c r="G876" s="1244"/>
      <c r="H876" s="1244"/>
      <c r="I876" s="1244">
        <v>1850851</v>
      </c>
      <c r="J876" s="1243"/>
      <c r="K876" s="1255"/>
      <c r="L876" s="1254"/>
      <c r="M876" s="1240"/>
      <c r="N876" s="1240"/>
      <c r="O876" s="1240"/>
      <c r="P876" s="1240"/>
      <c r="Q876" s="1240"/>
    </row>
    <row r="877" spans="1:17" s="1256" customFormat="1" ht="12.95" customHeight="1">
      <c r="A877" s="4707"/>
      <c r="B877" s="4710"/>
      <c r="C877" s="4722"/>
      <c r="D877" s="4720"/>
      <c r="E877" s="1249" t="s">
        <v>459</v>
      </c>
      <c r="F877" s="1244">
        <f t="shared" si="45"/>
        <v>326620</v>
      </c>
      <c r="G877" s="1244">
        <v>326620</v>
      </c>
      <c r="H877" s="1244"/>
      <c r="I877" s="1244"/>
      <c r="J877" s="1243"/>
      <c r="K877" s="1255"/>
      <c r="L877" s="1254"/>
      <c r="M877" s="1240"/>
      <c r="N877" s="1240"/>
      <c r="O877" s="1240"/>
      <c r="P877" s="1240"/>
      <c r="Q877" s="1240"/>
    </row>
    <row r="878" spans="1:17" s="1256" customFormat="1" ht="12.95" customHeight="1">
      <c r="A878" s="4707"/>
      <c r="B878" s="4710"/>
      <c r="C878" s="4722"/>
      <c r="D878" s="4720"/>
      <c r="E878" s="1249" t="s">
        <v>477</v>
      </c>
      <c r="F878" s="1244">
        <f t="shared" si="45"/>
        <v>263792</v>
      </c>
      <c r="G878" s="1244"/>
      <c r="H878" s="1244"/>
      <c r="I878" s="1244">
        <v>263792</v>
      </c>
      <c r="J878" s="1243"/>
      <c r="K878" s="1255"/>
      <c r="L878" s="1254"/>
      <c r="M878" s="1240"/>
      <c r="N878" s="1240"/>
      <c r="O878" s="1240"/>
      <c r="P878" s="1240"/>
      <c r="Q878" s="1240"/>
    </row>
    <row r="879" spans="1:17" s="1256" customFormat="1" ht="12.95" customHeight="1">
      <c r="A879" s="4707"/>
      <c r="B879" s="4710"/>
      <c r="C879" s="4722"/>
      <c r="D879" s="4720"/>
      <c r="E879" s="1249" t="s">
        <v>457</v>
      </c>
      <c r="F879" s="1244">
        <f t="shared" si="45"/>
        <v>46552</v>
      </c>
      <c r="G879" s="1244">
        <v>46552</v>
      </c>
      <c r="H879" s="1244"/>
      <c r="I879" s="1244"/>
      <c r="J879" s="1243"/>
      <c r="K879" s="1255"/>
      <c r="L879" s="1254"/>
      <c r="M879" s="1240"/>
      <c r="N879" s="1240"/>
      <c r="O879" s="1240"/>
      <c r="P879" s="1240"/>
      <c r="Q879" s="1240"/>
    </row>
    <row r="880" spans="1:17" s="1256" customFormat="1" ht="12.95" customHeight="1">
      <c r="A880" s="4707"/>
      <c r="B880" s="4710"/>
      <c r="C880" s="4722"/>
      <c r="D880" s="4720"/>
      <c r="E880" s="1249" t="s">
        <v>535</v>
      </c>
      <c r="F880" s="1244">
        <f t="shared" si="45"/>
        <v>12750</v>
      </c>
      <c r="G880" s="1244"/>
      <c r="H880" s="1244"/>
      <c r="I880" s="1244">
        <v>12750</v>
      </c>
      <c r="J880" s="1243"/>
      <c r="K880" s="1255"/>
      <c r="L880" s="1254"/>
      <c r="M880" s="1240"/>
      <c r="N880" s="1240"/>
      <c r="O880" s="1240"/>
      <c r="P880" s="1240"/>
      <c r="Q880" s="1240"/>
    </row>
    <row r="881" spans="1:17" s="1256" customFormat="1" ht="12.95" customHeight="1">
      <c r="A881" s="4707"/>
      <c r="B881" s="4710"/>
      <c r="C881" s="4722"/>
      <c r="D881" s="4720"/>
      <c r="E881" s="1249" t="s">
        <v>455</v>
      </c>
      <c r="F881" s="1244">
        <f t="shared" si="45"/>
        <v>2250</v>
      </c>
      <c r="G881" s="1244">
        <v>2250</v>
      </c>
      <c r="H881" s="1244"/>
      <c r="I881" s="1244"/>
      <c r="J881" s="1243"/>
      <c r="K881" s="1255"/>
      <c r="L881" s="1254"/>
      <c r="M881" s="1240"/>
      <c r="N881" s="1240"/>
      <c r="O881" s="1240"/>
      <c r="P881" s="1240"/>
      <c r="Q881" s="1240"/>
    </row>
    <row r="882" spans="1:17" s="1256" customFormat="1" ht="12.95" customHeight="1">
      <c r="A882" s="4707"/>
      <c r="B882" s="4710"/>
      <c r="C882" s="4722"/>
      <c r="D882" s="4720"/>
      <c r="E882" s="1249" t="s">
        <v>476</v>
      </c>
      <c r="F882" s="1244">
        <f t="shared" si="45"/>
        <v>53835</v>
      </c>
      <c r="G882" s="1244"/>
      <c r="H882" s="1244"/>
      <c r="I882" s="1244">
        <v>53835</v>
      </c>
      <c r="J882" s="1243"/>
      <c r="K882" s="1255"/>
      <c r="L882" s="1254"/>
      <c r="M882" s="1240"/>
      <c r="N882" s="1240"/>
      <c r="O882" s="1240"/>
      <c r="P882" s="1240"/>
      <c r="Q882" s="1240"/>
    </row>
    <row r="883" spans="1:17" s="1256" customFormat="1" ht="12.95" customHeight="1">
      <c r="A883" s="4707"/>
      <c r="B883" s="4710"/>
      <c r="C883" s="4722"/>
      <c r="D883" s="4720"/>
      <c r="E883" s="1249" t="s">
        <v>453</v>
      </c>
      <c r="F883" s="1244">
        <f t="shared" si="45"/>
        <v>9500</v>
      </c>
      <c r="G883" s="1244">
        <v>9500</v>
      </c>
      <c r="H883" s="1244"/>
      <c r="I883" s="1244"/>
      <c r="J883" s="1243"/>
      <c r="K883" s="1255"/>
      <c r="L883" s="1254"/>
      <c r="M883" s="1240"/>
      <c r="N883" s="1240"/>
      <c r="O883" s="1240"/>
      <c r="P883" s="1240"/>
      <c r="Q883" s="1240"/>
    </row>
    <row r="884" spans="1:17" s="1256" customFormat="1" ht="18" customHeight="1">
      <c r="A884" s="4707"/>
      <c r="B884" s="4710"/>
      <c r="C884" s="4722"/>
      <c r="D884" s="4720"/>
      <c r="E884" s="1248" t="s">
        <v>427</v>
      </c>
      <c r="F884" s="1247">
        <f>SUM(F885:F912)</f>
        <v>1660670</v>
      </c>
      <c r="G884" s="1247">
        <f>SUM(G885:G912)</f>
        <v>249100</v>
      </c>
      <c r="H884" s="1247">
        <f>SUM(H885:H912)</f>
        <v>0</v>
      </c>
      <c r="I884" s="1247">
        <f>SUM(I885:I912)</f>
        <v>1411570</v>
      </c>
      <c r="J884" s="1246">
        <f>SUM(J885:J912)</f>
        <v>0</v>
      </c>
      <c r="K884" s="1255"/>
      <c r="L884" s="1254"/>
      <c r="M884" s="1240"/>
      <c r="N884" s="1240"/>
      <c r="O884" s="1240"/>
      <c r="P884" s="1240"/>
      <c r="Q884" s="1240"/>
    </row>
    <row r="885" spans="1:17" s="1256" customFormat="1" ht="12.95" customHeight="1">
      <c r="A885" s="4707"/>
      <c r="B885" s="4710"/>
      <c r="C885" s="4722"/>
      <c r="D885" s="4720"/>
      <c r="E885" s="1249" t="s">
        <v>534</v>
      </c>
      <c r="F885" s="1244">
        <f t="shared" ref="F885:F912" si="46">SUM(G885:J885)</f>
        <v>11900</v>
      </c>
      <c r="G885" s="1244"/>
      <c r="H885" s="1244"/>
      <c r="I885" s="1244">
        <v>11900</v>
      </c>
      <c r="J885" s="1243"/>
      <c r="K885" s="1255"/>
      <c r="L885" s="1254"/>
      <c r="M885" s="1240"/>
      <c r="N885" s="1240"/>
      <c r="O885" s="1240"/>
      <c r="P885" s="1240"/>
      <c r="Q885" s="1240"/>
    </row>
    <row r="886" spans="1:17" s="1256" customFormat="1" ht="12.95" customHeight="1">
      <c r="A886" s="4707"/>
      <c r="B886" s="4710"/>
      <c r="C886" s="4722"/>
      <c r="D886" s="4720"/>
      <c r="E886" s="1249" t="s">
        <v>515</v>
      </c>
      <c r="F886" s="1244">
        <f t="shared" si="46"/>
        <v>2100</v>
      </c>
      <c r="G886" s="1244">
        <v>2100</v>
      </c>
      <c r="H886" s="1244"/>
      <c r="I886" s="1244"/>
      <c r="J886" s="1243"/>
      <c r="K886" s="1255"/>
      <c r="L886" s="1254"/>
      <c r="M886" s="1240"/>
      <c r="N886" s="1240"/>
      <c r="O886" s="1240"/>
      <c r="P886" s="1240"/>
      <c r="Q886" s="1240"/>
    </row>
    <row r="887" spans="1:17" s="1256" customFormat="1" ht="12.95" customHeight="1">
      <c r="A887" s="4707"/>
      <c r="B887" s="4710"/>
      <c r="C887" s="4722"/>
      <c r="D887" s="4720"/>
      <c r="E887" s="1249" t="s">
        <v>533</v>
      </c>
      <c r="F887" s="1244">
        <f t="shared" si="46"/>
        <v>209950</v>
      </c>
      <c r="G887" s="1244"/>
      <c r="H887" s="1244"/>
      <c r="I887" s="1244">
        <v>209950</v>
      </c>
      <c r="J887" s="1243"/>
      <c r="K887" s="1255"/>
      <c r="L887" s="1254"/>
      <c r="M887" s="1240"/>
      <c r="N887" s="1240"/>
      <c r="O887" s="1240"/>
      <c r="P887" s="1240"/>
      <c r="Q887" s="1240"/>
    </row>
    <row r="888" spans="1:17" s="1256" customFormat="1" ht="12.95" customHeight="1">
      <c r="A888" s="4707"/>
      <c r="B888" s="4710"/>
      <c r="C888" s="4722"/>
      <c r="D888" s="4720"/>
      <c r="E888" s="1249" t="s">
        <v>449</v>
      </c>
      <c r="F888" s="1244">
        <f t="shared" si="46"/>
        <v>37050</v>
      </c>
      <c r="G888" s="1244">
        <v>37050</v>
      </c>
      <c r="H888" s="1244"/>
      <c r="I888" s="1244"/>
      <c r="J888" s="1243"/>
      <c r="K888" s="1255"/>
      <c r="L888" s="1254"/>
      <c r="M888" s="1240"/>
      <c r="N888" s="1240"/>
      <c r="O888" s="1240"/>
      <c r="P888" s="1240"/>
      <c r="Q888" s="1240"/>
    </row>
    <row r="889" spans="1:17" s="1256" customFormat="1" ht="12.95" customHeight="1">
      <c r="A889" s="4707"/>
      <c r="B889" s="4710"/>
      <c r="C889" s="4722"/>
      <c r="D889" s="4720"/>
      <c r="E889" s="1249" t="s">
        <v>532</v>
      </c>
      <c r="F889" s="1244">
        <f t="shared" si="46"/>
        <v>314925</v>
      </c>
      <c r="G889" s="1244"/>
      <c r="H889" s="1244"/>
      <c r="I889" s="1244">
        <v>314925</v>
      </c>
      <c r="J889" s="1243"/>
      <c r="K889" s="1255"/>
      <c r="L889" s="1254"/>
      <c r="M889" s="1240"/>
      <c r="N889" s="1240"/>
      <c r="O889" s="1240"/>
      <c r="P889" s="1240"/>
      <c r="Q889" s="1240"/>
    </row>
    <row r="890" spans="1:17" s="1256" customFormat="1" ht="12.95" customHeight="1">
      <c r="A890" s="4707"/>
      <c r="B890" s="4710"/>
      <c r="C890" s="4722"/>
      <c r="D890" s="4720"/>
      <c r="E890" s="1249" t="s">
        <v>447</v>
      </c>
      <c r="F890" s="1244">
        <f t="shared" si="46"/>
        <v>55575</v>
      </c>
      <c r="G890" s="1244">
        <v>55575</v>
      </c>
      <c r="H890" s="1244"/>
      <c r="I890" s="1244"/>
      <c r="J890" s="1243"/>
      <c r="K890" s="1255"/>
      <c r="L890" s="1254"/>
      <c r="M890" s="1240"/>
      <c r="N890" s="1240"/>
      <c r="O890" s="1240"/>
      <c r="P890" s="1240"/>
      <c r="Q890" s="1240"/>
    </row>
    <row r="891" spans="1:17" s="1256" customFormat="1" ht="12.95" customHeight="1">
      <c r="A891" s="4707"/>
      <c r="B891" s="4710"/>
      <c r="C891" s="4722"/>
      <c r="D891" s="4720"/>
      <c r="E891" s="1249" t="s">
        <v>531</v>
      </c>
      <c r="F891" s="1244">
        <f t="shared" si="46"/>
        <v>41650</v>
      </c>
      <c r="G891" s="1244"/>
      <c r="H891" s="1244"/>
      <c r="I891" s="1244">
        <v>41650</v>
      </c>
      <c r="J891" s="1243"/>
      <c r="K891" s="1255"/>
      <c r="L891" s="1254"/>
      <c r="M891" s="1240"/>
      <c r="N891" s="1240"/>
      <c r="O891" s="1240"/>
      <c r="P891" s="1240"/>
      <c r="Q891" s="1240"/>
    </row>
    <row r="892" spans="1:17" s="1256" customFormat="1" ht="12.95" customHeight="1">
      <c r="A892" s="4707"/>
      <c r="B892" s="4710"/>
      <c r="C892" s="4722"/>
      <c r="D892" s="4720"/>
      <c r="E892" s="1249" t="s">
        <v>513</v>
      </c>
      <c r="F892" s="1244">
        <f t="shared" si="46"/>
        <v>7350</v>
      </c>
      <c r="G892" s="1244">
        <v>7350</v>
      </c>
      <c r="H892" s="1244"/>
      <c r="I892" s="1244"/>
      <c r="J892" s="1243"/>
      <c r="K892" s="1255"/>
      <c r="L892" s="1254"/>
      <c r="M892" s="1240"/>
      <c r="N892" s="1240"/>
      <c r="O892" s="1240"/>
      <c r="P892" s="1240"/>
      <c r="Q892" s="1240"/>
    </row>
    <row r="893" spans="1:17" s="1256" customFormat="1" ht="12.95" customHeight="1">
      <c r="A893" s="4707"/>
      <c r="B893" s="4710"/>
      <c r="C893" s="4722"/>
      <c r="D893" s="4720"/>
      <c r="E893" s="1249" t="s">
        <v>530</v>
      </c>
      <c r="F893" s="1244">
        <f t="shared" si="46"/>
        <v>14620</v>
      </c>
      <c r="G893" s="1244"/>
      <c r="H893" s="1244"/>
      <c r="I893" s="1244">
        <v>14620</v>
      </c>
      <c r="J893" s="1243"/>
      <c r="K893" s="1255"/>
      <c r="L893" s="1254"/>
      <c r="M893" s="1240"/>
      <c r="N893" s="1240"/>
      <c r="O893" s="1240"/>
      <c r="P893" s="1240"/>
      <c r="Q893" s="1240"/>
    </row>
    <row r="894" spans="1:17" s="1256" customFormat="1" ht="12.95" customHeight="1">
      <c r="A894" s="4707"/>
      <c r="B894" s="4710"/>
      <c r="C894" s="4722"/>
      <c r="D894" s="4720"/>
      <c r="E894" s="1249" t="s">
        <v>511</v>
      </c>
      <c r="F894" s="1244">
        <f t="shared" si="46"/>
        <v>2580</v>
      </c>
      <c r="G894" s="1244">
        <v>2580</v>
      </c>
      <c r="H894" s="1244"/>
      <c r="I894" s="1244"/>
      <c r="J894" s="1243"/>
      <c r="K894" s="1255"/>
      <c r="L894" s="1254"/>
      <c r="M894" s="1240"/>
      <c r="N894" s="1240"/>
      <c r="O894" s="1240"/>
      <c r="P894" s="1240"/>
      <c r="Q894" s="1240"/>
    </row>
    <row r="895" spans="1:17" s="1256" customFormat="1" ht="12.95" customHeight="1">
      <c r="A895" s="4707"/>
      <c r="B895" s="4710"/>
      <c r="C895" s="4722"/>
      <c r="D895" s="4720"/>
      <c r="E895" s="1249" t="s">
        <v>529</v>
      </c>
      <c r="F895" s="1244">
        <f t="shared" si="46"/>
        <v>570920</v>
      </c>
      <c r="G895" s="1244"/>
      <c r="H895" s="1244"/>
      <c r="I895" s="1244">
        <v>570920</v>
      </c>
      <c r="J895" s="1243"/>
      <c r="K895" s="1255"/>
      <c r="L895" s="1254"/>
      <c r="M895" s="1240"/>
      <c r="N895" s="1240"/>
      <c r="O895" s="1240"/>
      <c r="P895" s="1240"/>
      <c r="Q895" s="1240"/>
    </row>
    <row r="896" spans="1:17" s="1256" customFormat="1" ht="12.95" customHeight="1">
      <c r="A896" s="4707"/>
      <c r="B896" s="4710"/>
      <c r="C896" s="4722"/>
      <c r="D896" s="4720"/>
      <c r="E896" s="1249" t="s">
        <v>445</v>
      </c>
      <c r="F896" s="1244">
        <f t="shared" si="46"/>
        <v>100750</v>
      </c>
      <c r="G896" s="1244">
        <v>100750</v>
      </c>
      <c r="H896" s="1244"/>
      <c r="I896" s="1244"/>
      <c r="J896" s="1243"/>
      <c r="K896" s="1255"/>
      <c r="L896" s="1254"/>
      <c r="M896" s="1240"/>
      <c r="N896" s="1240"/>
      <c r="O896" s="1240"/>
      <c r="P896" s="1240"/>
      <c r="Q896" s="1240"/>
    </row>
    <row r="897" spans="1:17" s="1256" customFormat="1" ht="12.95" customHeight="1">
      <c r="A897" s="4707"/>
      <c r="B897" s="4710"/>
      <c r="C897" s="4722"/>
      <c r="D897" s="4720"/>
      <c r="E897" s="1249" t="s">
        <v>528</v>
      </c>
      <c r="F897" s="1244">
        <f t="shared" si="46"/>
        <v>21250</v>
      </c>
      <c r="G897" s="1244"/>
      <c r="H897" s="1244"/>
      <c r="I897" s="1244">
        <v>21250</v>
      </c>
      <c r="J897" s="1243"/>
      <c r="K897" s="1255"/>
      <c r="L897" s="1254"/>
      <c r="M897" s="1240"/>
      <c r="N897" s="1240"/>
      <c r="O897" s="1240"/>
      <c r="P897" s="1240"/>
      <c r="Q897" s="1240"/>
    </row>
    <row r="898" spans="1:17" s="1256" customFormat="1" ht="12.95" customHeight="1">
      <c r="A898" s="4707"/>
      <c r="B898" s="4710"/>
      <c r="C898" s="4722"/>
      <c r="D898" s="4720"/>
      <c r="E898" s="1249" t="s">
        <v>443</v>
      </c>
      <c r="F898" s="1244">
        <f t="shared" si="46"/>
        <v>3750</v>
      </c>
      <c r="G898" s="1244">
        <v>3750</v>
      </c>
      <c r="H898" s="1244"/>
      <c r="I898" s="1244"/>
      <c r="J898" s="1243"/>
      <c r="K898" s="1255"/>
      <c r="L898" s="1254"/>
      <c r="M898" s="1240"/>
      <c r="N898" s="1240"/>
      <c r="O898" s="1240"/>
      <c r="P898" s="1240"/>
      <c r="Q898" s="1240"/>
    </row>
    <row r="899" spans="1:17" s="1256" customFormat="1" ht="12.95" customHeight="1">
      <c r="A899" s="4707"/>
      <c r="B899" s="4710"/>
      <c r="C899" s="4722"/>
      <c r="D899" s="4720"/>
      <c r="E899" s="1249" t="s">
        <v>527</v>
      </c>
      <c r="F899" s="1244">
        <f t="shared" si="46"/>
        <v>1530</v>
      </c>
      <c r="G899" s="1244"/>
      <c r="H899" s="1244"/>
      <c r="I899" s="1244">
        <v>1530</v>
      </c>
      <c r="J899" s="1243"/>
      <c r="K899" s="1255"/>
      <c r="L899" s="1254"/>
      <c r="M899" s="1240"/>
      <c r="N899" s="1240"/>
      <c r="O899" s="1240"/>
      <c r="P899" s="1240"/>
      <c r="Q899" s="1240"/>
    </row>
    <row r="900" spans="1:17" s="1256" customFormat="1" ht="12.95" customHeight="1">
      <c r="A900" s="4707"/>
      <c r="B900" s="4710"/>
      <c r="C900" s="4722"/>
      <c r="D900" s="4720"/>
      <c r="E900" s="1249" t="s">
        <v>526</v>
      </c>
      <c r="F900" s="1244">
        <f t="shared" si="46"/>
        <v>270</v>
      </c>
      <c r="G900" s="1244">
        <v>270</v>
      </c>
      <c r="H900" s="1244"/>
      <c r="I900" s="1244"/>
      <c r="J900" s="1243"/>
      <c r="K900" s="1255"/>
      <c r="L900" s="1254"/>
      <c r="M900" s="1240"/>
      <c r="N900" s="1240"/>
      <c r="O900" s="1240"/>
      <c r="P900" s="1240"/>
      <c r="Q900" s="1240"/>
    </row>
    <row r="901" spans="1:17" s="1256" customFormat="1" ht="12.95" customHeight="1">
      <c r="A901" s="4707"/>
      <c r="B901" s="4710"/>
      <c r="C901" s="4722"/>
      <c r="D901" s="4720"/>
      <c r="E901" s="1249" t="s">
        <v>525</v>
      </c>
      <c r="F901" s="1244">
        <f t="shared" si="46"/>
        <v>61200</v>
      </c>
      <c r="G901" s="1244"/>
      <c r="H901" s="1244"/>
      <c r="I901" s="1244">
        <v>61200</v>
      </c>
      <c r="J901" s="1243"/>
      <c r="K901" s="1255"/>
      <c r="L901" s="1254"/>
      <c r="M901" s="1240"/>
      <c r="N901" s="1240"/>
      <c r="O901" s="1240"/>
      <c r="P901" s="1240"/>
      <c r="Q901" s="1240"/>
    </row>
    <row r="902" spans="1:17" s="1256" customFormat="1" ht="12.95" customHeight="1">
      <c r="A902" s="4707"/>
      <c r="B902" s="4710"/>
      <c r="C902" s="4722"/>
      <c r="D902" s="4720"/>
      <c r="E902" s="1249" t="s">
        <v>509</v>
      </c>
      <c r="F902" s="1244">
        <f t="shared" si="46"/>
        <v>10800</v>
      </c>
      <c r="G902" s="1244">
        <v>10800</v>
      </c>
      <c r="H902" s="1244"/>
      <c r="I902" s="1244"/>
      <c r="J902" s="1243"/>
      <c r="K902" s="1255"/>
      <c r="L902" s="1254"/>
      <c r="M902" s="1240"/>
      <c r="N902" s="1240"/>
      <c r="O902" s="1240"/>
      <c r="P902" s="1240"/>
      <c r="Q902" s="1240"/>
    </row>
    <row r="903" spans="1:17" s="1256" customFormat="1" ht="12.95" customHeight="1">
      <c r="A903" s="4707"/>
      <c r="B903" s="4710"/>
      <c r="C903" s="4722"/>
      <c r="D903" s="4720"/>
      <c r="E903" s="1249" t="s">
        <v>524</v>
      </c>
      <c r="F903" s="1244">
        <f t="shared" si="46"/>
        <v>40800</v>
      </c>
      <c r="G903" s="1244"/>
      <c r="H903" s="1244"/>
      <c r="I903" s="1244">
        <v>40800</v>
      </c>
      <c r="J903" s="1243"/>
      <c r="K903" s="1255"/>
      <c r="L903" s="1254"/>
      <c r="M903" s="1240"/>
      <c r="N903" s="1240"/>
      <c r="O903" s="1240"/>
      <c r="P903" s="1240"/>
      <c r="Q903" s="1240"/>
    </row>
    <row r="904" spans="1:17" s="1256" customFormat="1" ht="12.95" customHeight="1">
      <c r="A904" s="4707"/>
      <c r="B904" s="4710"/>
      <c r="C904" s="4722"/>
      <c r="D904" s="4720"/>
      <c r="E904" s="1249" t="s">
        <v>466</v>
      </c>
      <c r="F904" s="1244">
        <f t="shared" si="46"/>
        <v>7200</v>
      </c>
      <c r="G904" s="1244">
        <v>7200</v>
      </c>
      <c r="H904" s="1244"/>
      <c r="I904" s="1244"/>
      <c r="J904" s="1243"/>
      <c r="K904" s="1255"/>
      <c r="L904" s="1254"/>
      <c r="M904" s="1240"/>
      <c r="N904" s="1240"/>
      <c r="O904" s="1240"/>
      <c r="P904" s="1240"/>
      <c r="Q904" s="1240"/>
    </row>
    <row r="905" spans="1:17" s="1256" customFormat="1" ht="12.95" customHeight="1">
      <c r="A905" s="4707"/>
      <c r="B905" s="4710"/>
      <c r="C905" s="4722"/>
      <c r="D905" s="4720"/>
      <c r="E905" s="1249" t="s">
        <v>523</v>
      </c>
      <c r="F905" s="1244">
        <f t="shared" si="46"/>
        <v>8075</v>
      </c>
      <c r="G905" s="1244"/>
      <c r="H905" s="1244"/>
      <c r="I905" s="1244">
        <v>8075</v>
      </c>
      <c r="J905" s="1243"/>
      <c r="K905" s="1255"/>
      <c r="L905" s="1254"/>
      <c r="M905" s="1240"/>
      <c r="N905" s="1240"/>
      <c r="O905" s="1240"/>
      <c r="P905" s="1240"/>
      <c r="Q905" s="1240"/>
    </row>
    <row r="906" spans="1:17" s="1256" customFormat="1" ht="12.95" customHeight="1">
      <c r="A906" s="4707"/>
      <c r="B906" s="4710"/>
      <c r="C906" s="4722"/>
      <c r="D906" s="4720"/>
      <c r="E906" s="1249" t="s">
        <v>522</v>
      </c>
      <c r="F906" s="1244">
        <f t="shared" si="46"/>
        <v>1425</v>
      </c>
      <c r="G906" s="1244">
        <v>1425</v>
      </c>
      <c r="H906" s="1244"/>
      <c r="I906" s="1244"/>
      <c r="J906" s="1243"/>
      <c r="K906" s="1255"/>
      <c r="L906" s="1254"/>
      <c r="M906" s="1240"/>
      <c r="N906" s="1240"/>
      <c r="O906" s="1240"/>
      <c r="P906" s="1240"/>
      <c r="Q906" s="1240"/>
    </row>
    <row r="907" spans="1:17" s="1256" customFormat="1" ht="12.95" hidden="1" customHeight="1">
      <c r="A907" s="4707"/>
      <c r="B907" s="4710"/>
      <c r="C907" s="4722"/>
      <c r="D907" s="4720"/>
      <c r="E907" s="1249" t="s">
        <v>521</v>
      </c>
      <c r="F907" s="1244">
        <f t="shared" si="46"/>
        <v>0</v>
      </c>
      <c r="G907" s="1244"/>
      <c r="H907" s="1244"/>
      <c r="I907" s="1244"/>
      <c r="J907" s="1243"/>
      <c r="K907" s="1255"/>
      <c r="L907" s="1254"/>
      <c r="M907" s="1240"/>
      <c r="N907" s="1240"/>
      <c r="O907" s="1240"/>
      <c r="P907" s="1240"/>
      <c r="Q907" s="1240"/>
    </row>
    <row r="908" spans="1:17" s="1256" customFormat="1" ht="12.95" hidden="1" customHeight="1">
      <c r="A908" s="4707"/>
      <c r="B908" s="4710"/>
      <c r="C908" s="4722"/>
      <c r="D908" s="4720"/>
      <c r="E908" s="1249" t="s">
        <v>487</v>
      </c>
      <c r="F908" s="1244">
        <f t="shared" si="46"/>
        <v>0</v>
      </c>
      <c r="G908" s="1244"/>
      <c r="H908" s="1244"/>
      <c r="I908" s="1244"/>
      <c r="J908" s="1243"/>
      <c r="K908" s="1255"/>
      <c r="L908" s="1254"/>
      <c r="M908" s="1240"/>
      <c r="N908" s="1240"/>
      <c r="O908" s="1240"/>
      <c r="P908" s="1240"/>
      <c r="Q908" s="1240"/>
    </row>
    <row r="909" spans="1:17" s="1256" customFormat="1" ht="12.95" customHeight="1">
      <c r="A909" s="4707"/>
      <c r="B909" s="4710"/>
      <c r="C909" s="4722"/>
      <c r="D909" s="4720"/>
      <c r="E909" s="1249" t="s">
        <v>520</v>
      </c>
      <c r="F909" s="1244">
        <f t="shared" si="46"/>
        <v>4250</v>
      </c>
      <c r="G909" s="1244"/>
      <c r="H909" s="1244"/>
      <c r="I909" s="1244">
        <v>4250</v>
      </c>
      <c r="J909" s="1243"/>
      <c r="K909" s="1255"/>
      <c r="L909" s="1254"/>
      <c r="M909" s="1240"/>
      <c r="N909" s="1240"/>
      <c r="O909" s="1240"/>
      <c r="P909" s="1240"/>
      <c r="Q909" s="1240"/>
    </row>
    <row r="910" spans="1:17" s="1256" customFormat="1" ht="12.95" customHeight="1">
      <c r="A910" s="4707"/>
      <c r="B910" s="4710"/>
      <c r="C910" s="4722"/>
      <c r="D910" s="4720"/>
      <c r="E910" s="1249" t="s">
        <v>507</v>
      </c>
      <c r="F910" s="1244">
        <f t="shared" si="46"/>
        <v>750</v>
      </c>
      <c r="G910" s="1244">
        <v>750</v>
      </c>
      <c r="H910" s="1244"/>
      <c r="I910" s="1244"/>
      <c r="J910" s="1243"/>
      <c r="K910" s="1255"/>
      <c r="L910" s="1254"/>
      <c r="M910" s="1240"/>
      <c r="N910" s="1240"/>
      <c r="O910" s="1240"/>
      <c r="P910" s="1240"/>
      <c r="Q910" s="1240"/>
    </row>
    <row r="911" spans="1:17" s="1256" customFormat="1" ht="12.95" customHeight="1">
      <c r="A911" s="4707"/>
      <c r="B911" s="4710"/>
      <c r="C911" s="4722"/>
      <c r="D911" s="4720"/>
      <c r="E911" s="1249" t="s">
        <v>519</v>
      </c>
      <c r="F911" s="1244">
        <f t="shared" si="46"/>
        <v>110500</v>
      </c>
      <c r="G911" s="1244"/>
      <c r="H911" s="1244"/>
      <c r="I911" s="1244">
        <v>110500</v>
      </c>
      <c r="J911" s="1243"/>
      <c r="K911" s="1255"/>
      <c r="L911" s="1254"/>
      <c r="M911" s="1240"/>
      <c r="N911" s="1240"/>
      <c r="O911" s="1240"/>
      <c r="P911" s="1240"/>
      <c r="Q911" s="1240"/>
    </row>
    <row r="912" spans="1:17" s="1256" customFormat="1" ht="12.95" customHeight="1">
      <c r="A912" s="4707"/>
      <c r="B912" s="4710"/>
      <c r="C912" s="4722"/>
      <c r="D912" s="4720"/>
      <c r="E912" s="1249" t="s">
        <v>485</v>
      </c>
      <c r="F912" s="1244">
        <f t="shared" si="46"/>
        <v>19500</v>
      </c>
      <c r="G912" s="1244">
        <v>19500</v>
      </c>
      <c r="H912" s="1244"/>
      <c r="I912" s="1244"/>
      <c r="J912" s="1243"/>
      <c r="K912" s="1255"/>
      <c r="L912" s="1254"/>
      <c r="M912" s="1240"/>
      <c r="N912" s="1240"/>
      <c r="O912" s="1240"/>
      <c r="P912" s="1240"/>
      <c r="Q912" s="1240"/>
    </row>
    <row r="913" spans="1:17" s="1256" customFormat="1" ht="12">
      <c r="A913" s="4708"/>
      <c r="B913" s="4711"/>
      <c r="C913" s="4696"/>
      <c r="D913" s="4719"/>
      <c r="E913" s="1239" t="s">
        <v>423</v>
      </c>
      <c r="F913" s="1238">
        <f>SUM(F914:F915)</f>
        <v>0</v>
      </c>
      <c r="G913" s="1238">
        <f>SUM(G914:G915)</f>
        <v>0</v>
      </c>
      <c r="H913" s="1238">
        <f>SUM(H914:H915)</f>
        <v>0</v>
      </c>
      <c r="I913" s="1238">
        <f>SUM(I914:I915)</f>
        <v>0</v>
      </c>
      <c r="J913" s="1237">
        <f>SUM(J914:J915)</f>
        <v>0</v>
      </c>
      <c r="K913" s="1255"/>
      <c r="L913" s="1254"/>
      <c r="M913" s="1240"/>
      <c r="N913" s="1240"/>
      <c r="O913" s="1240"/>
      <c r="P913" s="1240"/>
      <c r="Q913" s="1240"/>
    </row>
    <row r="914" spans="1:17" s="1240" customFormat="1" ht="15" hidden="1" customHeight="1">
      <c r="A914" s="1235"/>
      <c r="B914" s="1234"/>
      <c r="C914" s="1233"/>
      <c r="D914" s="1232"/>
      <c r="E914" s="1236" t="s">
        <v>500</v>
      </c>
      <c r="F914" s="1230">
        <f>SUM(G914:J914)</f>
        <v>0</v>
      </c>
      <c r="G914" s="1230"/>
      <c r="H914" s="1230"/>
      <c r="I914" s="1230"/>
      <c r="J914" s="1229"/>
      <c r="K914" s="1255"/>
      <c r="L914" s="1254"/>
    </row>
    <row r="915" spans="1:17" s="1240" customFormat="1" ht="15" hidden="1" customHeight="1">
      <c r="A915" s="1235"/>
      <c r="B915" s="1234"/>
      <c r="C915" s="1233"/>
      <c r="D915" s="1232"/>
      <c r="E915" s="1231">
        <v>6069</v>
      </c>
      <c r="F915" s="1230">
        <f>SUM(G915:J915)</f>
        <v>0</v>
      </c>
      <c r="G915" s="1230"/>
      <c r="H915" s="1230"/>
      <c r="I915" s="1230"/>
      <c r="J915" s="1229"/>
      <c r="K915" s="1255"/>
      <c r="L915" s="1254"/>
    </row>
    <row r="916" spans="1:17" s="1256" customFormat="1" ht="22.5" customHeight="1">
      <c r="A916" s="4706" t="s">
        <v>438</v>
      </c>
      <c r="B916" s="4709" t="s">
        <v>518</v>
      </c>
      <c r="C916" s="4695">
        <v>852</v>
      </c>
      <c r="D916" s="4718" t="s">
        <v>517</v>
      </c>
      <c r="E916" s="1253" t="s">
        <v>435</v>
      </c>
      <c r="F916" s="1252">
        <f>SUM(F917,F957)</f>
        <v>21431283</v>
      </c>
      <c r="G916" s="1252">
        <f>SUM(G917,G957)</f>
        <v>3214693</v>
      </c>
      <c r="H916" s="1252">
        <f>SUM(H917,H957)</f>
        <v>18216590</v>
      </c>
      <c r="I916" s="1252">
        <f>SUM(I917,I957)</f>
        <v>0</v>
      </c>
      <c r="J916" s="1251">
        <f>SUM(J917,J957)</f>
        <v>0</v>
      </c>
      <c r="K916" s="1255"/>
      <c r="L916" s="1254"/>
      <c r="M916" s="1240"/>
      <c r="N916" s="1240"/>
      <c r="O916" s="1240"/>
      <c r="P916" s="1240"/>
      <c r="Q916" s="1240"/>
    </row>
    <row r="917" spans="1:17" s="1256" customFormat="1" ht="21">
      <c r="A917" s="4707"/>
      <c r="B917" s="4710"/>
      <c r="C917" s="4722"/>
      <c r="D917" s="4720"/>
      <c r="E917" s="1250" t="s">
        <v>434</v>
      </c>
      <c r="F917" s="1238">
        <f>SUM(F918,F921,F932)</f>
        <v>21431283</v>
      </c>
      <c r="G917" s="1238">
        <f>SUM(G918,G921,G932)</f>
        <v>3214693</v>
      </c>
      <c r="H917" s="1238">
        <f>SUM(H918,H921,H932)</f>
        <v>18216590</v>
      </c>
      <c r="I917" s="1238">
        <f>SUM(I918,I921,I932)</f>
        <v>0</v>
      </c>
      <c r="J917" s="1237">
        <f>SUM(J918,J921,J932)</f>
        <v>0</v>
      </c>
      <c r="K917" s="1272"/>
      <c r="L917" s="1254"/>
      <c r="M917" s="1254"/>
      <c r="N917" s="1254"/>
      <c r="O917" s="1254"/>
      <c r="P917" s="1254"/>
      <c r="Q917" s="1240"/>
    </row>
    <row r="918" spans="1:17" s="1256" customFormat="1" ht="15" hidden="1" customHeight="1">
      <c r="A918" s="4707"/>
      <c r="B918" s="4710"/>
      <c r="C918" s="4722"/>
      <c r="D918" s="4720"/>
      <c r="E918" s="1248" t="s">
        <v>433</v>
      </c>
      <c r="F918" s="1247">
        <f>SUM(F919:F920)</f>
        <v>0</v>
      </c>
      <c r="G918" s="1247">
        <f>SUM(G919:G920)</f>
        <v>0</v>
      </c>
      <c r="H918" s="1247">
        <f>SUM(H919:H920)</f>
        <v>0</v>
      </c>
      <c r="I918" s="1247">
        <f>SUM(I919:I920)</f>
        <v>0</v>
      </c>
      <c r="J918" s="1246">
        <f>SUM(J919:J920)</f>
        <v>0</v>
      </c>
      <c r="K918" s="1255"/>
      <c r="L918" s="1254"/>
      <c r="M918" s="1240"/>
      <c r="N918" s="1240"/>
      <c r="O918" s="1240"/>
      <c r="P918" s="1240"/>
      <c r="Q918" s="1240"/>
    </row>
    <row r="919" spans="1:17" s="1256" customFormat="1" ht="15" hidden="1" customHeight="1">
      <c r="A919" s="4707"/>
      <c r="B919" s="4710"/>
      <c r="C919" s="4722"/>
      <c r="D919" s="4720"/>
      <c r="E919" s="1249"/>
      <c r="F919" s="1244">
        <f>SUM(G919:J919)</f>
        <v>0</v>
      </c>
      <c r="G919" s="1244"/>
      <c r="H919" s="1244"/>
      <c r="I919" s="1244"/>
      <c r="J919" s="1243"/>
      <c r="K919" s="1255"/>
      <c r="L919" s="1254"/>
      <c r="M919" s="1240"/>
      <c r="N919" s="1240"/>
      <c r="O919" s="1240"/>
      <c r="P919" s="1240"/>
      <c r="Q919" s="1240"/>
    </row>
    <row r="920" spans="1:17" s="1256" customFormat="1" ht="15" hidden="1" customHeight="1">
      <c r="A920" s="4707"/>
      <c r="B920" s="4710"/>
      <c r="C920" s="4722"/>
      <c r="D920" s="4720"/>
      <c r="E920" s="1249"/>
      <c r="F920" s="1244">
        <f>SUM(G920:J920)</f>
        <v>0</v>
      </c>
      <c r="G920" s="1244"/>
      <c r="H920" s="1244"/>
      <c r="I920" s="1244"/>
      <c r="J920" s="1243"/>
      <c r="K920" s="1255"/>
      <c r="L920" s="1254"/>
      <c r="M920" s="1240"/>
      <c r="N920" s="1240"/>
      <c r="O920" s="1240"/>
      <c r="P920" s="1240"/>
      <c r="Q920" s="1240"/>
    </row>
    <row r="921" spans="1:17" s="1256" customFormat="1" ht="22.5">
      <c r="A921" s="4707"/>
      <c r="B921" s="4710"/>
      <c r="C921" s="4722"/>
      <c r="D921" s="4720"/>
      <c r="E921" s="1248" t="s">
        <v>432</v>
      </c>
      <c r="F921" s="1247">
        <f>SUM(F922:F931)</f>
        <v>1703969</v>
      </c>
      <c r="G921" s="1247">
        <f>SUM(G922:G931)</f>
        <v>255596</v>
      </c>
      <c r="H921" s="1247">
        <f>SUM(H922:H931)</f>
        <v>1448373</v>
      </c>
      <c r="I921" s="1247">
        <f>SUM(I922:I931)</f>
        <v>0</v>
      </c>
      <c r="J921" s="1246">
        <f>SUM(J922:J931)</f>
        <v>0</v>
      </c>
      <c r="K921" s="1272"/>
      <c r="L921" s="1254"/>
      <c r="M921" s="1254"/>
      <c r="N921" s="1254"/>
      <c r="O921" s="1254"/>
      <c r="P921" s="1254"/>
      <c r="Q921" s="1240"/>
    </row>
    <row r="922" spans="1:17" s="1256" customFormat="1" ht="15" customHeight="1">
      <c r="A922" s="4707"/>
      <c r="B922" s="4710"/>
      <c r="C922" s="4722"/>
      <c r="D922" s="4720"/>
      <c r="E922" s="1249" t="s">
        <v>462</v>
      </c>
      <c r="F922" s="1244">
        <f t="shared" ref="F922:F931" si="47">SUM(G922:J922)</f>
        <v>1163245</v>
      </c>
      <c r="G922" s="1244"/>
      <c r="H922" s="1244">
        <v>1163245</v>
      </c>
      <c r="I922" s="1244"/>
      <c r="J922" s="1243"/>
      <c r="K922" s="1280"/>
      <c r="L922" s="1279"/>
      <c r="M922" s="1279"/>
      <c r="N922" s="1279"/>
      <c r="O922" s="1279"/>
      <c r="P922" s="1254"/>
      <c r="Q922" s="1240"/>
    </row>
    <row r="923" spans="1:17" s="1256" customFormat="1" ht="15" customHeight="1">
      <c r="A923" s="4707"/>
      <c r="B923" s="4710"/>
      <c r="C923" s="4722"/>
      <c r="D923" s="4720"/>
      <c r="E923" s="1249" t="s">
        <v>461</v>
      </c>
      <c r="F923" s="1244">
        <f t="shared" si="47"/>
        <v>205279</v>
      </c>
      <c r="G923" s="1244">
        <v>205279</v>
      </c>
      <c r="H923" s="1244"/>
      <c r="I923" s="1244"/>
      <c r="J923" s="1243"/>
      <c r="K923" s="1255"/>
      <c r="L923" s="1254"/>
      <c r="M923" s="1240"/>
      <c r="N923" s="1240"/>
      <c r="O923" s="1240"/>
      <c r="P923" s="1240"/>
      <c r="Q923" s="1240"/>
    </row>
    <row r="924" spans="1:17" s="1256" customFormat="1" ht="15" customHeight="1">
      <c r="A924" s="4707"/>
      <c r="B924" s="4710"/>
      <c r="C924" s="4722"/>
      <c r="D924" s="4720"/>
      <c r="E924" s="1249" t="s">
        <v>494</v>
      </c>
      <c r="F924" s="1244">
        <f t="shared" si="47"/>
        <v>32375</v>
      </c>
      <c r="G924" s="1244"/>
      <c r="H924" s="1244">
        <v>32375</v>
      </c>
      <c r="I924" s="1244"/>
      <c r="J924" s="1243"/>
      <c r="K924" s="1255"/>
      <c r="L924" s="1254"/>
      <c r="M924" s="1240"/>
      <c r="N924" s="1240"/>
      <c r="O924" s="1240"/>
      <c r="P924" s="1240"/>
      <c r="Q924" s="1240"/>
    </row>
    <row r="925" spans="1:17" s="1256" customFormat="1" ht="15" customHeight="1">
      <c r="A925" s="4707"/>
      <c r="B925" s="4710"/>
      <c r="C925" s="4722"/>
      <c r="D925" s="4720"/>
      <c r="E925" s="1249" t="s">
        <v>493</v>
      </c>
      <c r="F925" s="1244">
        <f t="shared" si="47"/>
        <v>5713</v>
      </c>
      <c r="G925" s="1244">
        <v>5713</v>
      </c>
      <c r="H925" s="1244"/>
      <c r="I925" s="1244"/>
      <c r="J925" s="1243"/>
      <c r="K925" s="1255"/>
      <c r="L925" s="1254"/>
      <c r="M925" s="1240"/>
      <c r="N925" s="1240"/>
      <c r="O925" s="1240"/>
      <c r="P925" s="1240"/>
      <c r="Q925" s="1240"/>
    </row>
    <row r="926" spans="1:17" s="1256" customFormat="1" ht="15" customHeight="1">
      <c r="A926" s="4707"/>
      <c r="B926" s="4710"/>
      <c r="C926" s="4722"/>
      <c r="D926" s="4720"/>
      <c r="E926" s="1249" t="s">
        <v>460</v>
      </c>
      <c r="F926" s="1244">
        <f t="shared" si="47"/>
        <v>205526</v>
      </c>
      <c r="G926" s="1244"/>
      <c r="H926" s="1244">
        <v>205526</v>
      </c>
      <c r="I926" s="1244"/>
      <c r="J926" s="1243"/>
      <c r="K926" s="1255"/>
      <c r="L926" s="1254"/>
      <c r="M926" s="1240"/>
      <c r="N926" s="1240"/>
      <c r="O926" s="1240"/>
      <c r="P926" s="1240"/>
      <c r="Q926" s="1240"/>
    </row>
    <row r="927" spans="1:17" s="1256" customFormat="1" ht="15" customHeight="1">
      <c r="A927" s="4707"/>
      <c r="B927" s="4710"/>
      <c r="C927" s="4722"/>
      <c r="D927" s="4720"/>
      <c r="E927" s="1249" t="s">
        <v>459</v>
      </c>
      <c r="F927" s="1244">
        <f t="shared" si="47"/>
        <v>36270</v>
      </c>
      <c r="G927" s="1244">
        <v>36270</v>
      </c>
      <c r="H927" s="1244"/>
      <c r="I927" s="1244"/>
      <c r="J927" s="1243"/>
      <c r="K927" s="1255"/>
      <c r="L927" s="1254"/>
      <c r="M927" s="1240"/>
      <c r="N927" s="1240"/>
      <c r="O927" s="1240"/>
      <c r="P927" s="1240"/>
      <c r="Q927" s="1240"/>
    </row>
    <row r="928" spans="1:17" s="1256" customFormat="1" ht="15" customHeight="1">
      <c r="A928" s="4707"/>
      <c r="B928" s="4710"/>
      <c r="C928" s="4722"/>
      <c r="D928" s="4720"/>
      <c r="E928" s="1249" t="s">
        <v>458</v>
      </c>
      <c r="F928" s="1244">
        <f t="shared" si="47"/>
        <v>29294</v>
      </c>
      <c r="G928" s="1244"/>
      <c r="H928" s="1244">
        <v>29294</v>
      </c>
      <c r="I928" s="1244"/>
      <c r="J928" s="1243"/>
      <c r="K928" s="1255"/>
      <c r="L928" s="1254"/>
      <c r="M928" s="1240"/>
      <c r="N928" s="1240"/>
      <c r="O928" s="1240"/>
      <c r="P928" s="1240"/>
      <c r="Q928" s="1240"/>
    </row>
    <row r="929" spans="1:17" s="1256" customFormat="1" ht="15" customHeight="1">
      <c r="A929" s="4707"/>
      <c r="B929" s="4710"/>
      <c r="C929" s="4722"/>
      <c r="D929" s="4720"/>
      <c r="E929" s="1249" t="s">
        <v>457</v>
      </c>
      <c r="F929" s="1244">
        <f t="shared" si="47"/>
        <v>5169</v>
      </c>
      <c r="G929" s="1244">
        <v>5169</v>
      </c>
      <c r="H929" s="1244"/>
      <c r="I929" s="1244"/>
      <c r="J929" s="1243"/>
      <c r="K929" s="1255"/>
      <c r="L929" s="1254"/>
      <c r="M929" s="1240"/>
      <c r="N929" s="1240"/>
      <c r="O929" s="1240"/>
      <c r="P929" s="1240"/>
      <c r="Q929" s="1240"/>
    </row>
    <row r="930" spans="1:17" s="1256" customFormat="1" ht="15" customHeight="1">
      <c r="A930" s="4707"/>
      <c r="B930" s="4710"/>
      <c r="C930" s="4722"/>
      <c r="D930" s="4720"/>
      <c r="E930" s="1249" t="s">
        <v>454</v>
      </c>
      <c r="F930" s="1244">
        <f t="shared" si="47"/>
        <v>17933</v>
      </c>
      <c r="G930" s="1244"/>
      <c r="H930" s="1244">
        <v>17933</v>
      </c>
      <c r="I930" s="1244"/>
      <c r="J930" s="1243"/>
      <c r="K930" s="1255"/>
      <c r="L930" s="1254"/>
      <c r="M930" s="1240"/>
      <c r="N930" s="1240"/>
      <c r="O930" s="1240"/>
      <c r="P930" s="1240"/>
      <c r="Q930" s="1240"/>
    </row>
    <row r="931" spans="1:17" s="1256" customFormat="1" ht="15" customHeight="1">
      <c r="A931" s="4707"/>
      <c r="B931" s="4710"/>
      <c r="C931" s="4722"/>
      <c r="D931" s="4720"/>
      <c r="E931" s="1249" t="s">
        <v>453</v>
      </c>
      <c r="F931" s="1244">
        <f t="shared" si="47"/>
        <v>3165</v>
      </c>
      <c r="G931" s="1244">
        <v>3165</v>
      </c>
      <c r="H931" s="1244"/>
      <c r="I931" s="1244"/>
      <c r="J931" s="1243"/>
      <c r="K931" s="1255"/>
      <c r="L931" s="1254"/>
      <c r="M931" s="1240"/>
      <c r="N931" s="1240"/>
      <c r="O931" s="1240"/>
      <c r="P931" s="1240"/>
      <c r="Q931" s="1240"/>
    </row>
    <row r="932" spans="1:17" s="1256" customFormat="1" ht="22.5">
      <c r="A932" s="4707"/>
      <c r="B932" s="4710"/>
      <c r="C932" s="4722"/>
      <c r="D932" s="4720"/>
      <c r="E932" s="1248" t="s">
        <v>427</v>
      </c>
      <c r="F932" s="1247">
        <f>SUM(F933:F956)</f>
        <v>19727314</v>
      </c>
      <c r="G932" s="1247">
        <f>SUM(G933:G956)</f>
        <v>2959097</v>
      </c>
      <c r="H932" s="1247">
        <f>SUM(H933:H956)</f>
        <v>16768217</v>
      </c>
      <c r="I932" s="1247">
        <f>SUM(I933:I956)</f>
        <v>0</v>
      </c>
      <c r="J932" s="1246">
        <f>SUM(J933:J956)</f>
        <v>0</v>
      </c>
      <c r="K932" s="1255"/>
      <c r="L932" s="1254"/>
      <c r="M932" s="1240"/>
      <c r="N932" s="1240"/>
      <c r="O932" s="1240"/>
      <c r="P932" s="1240"/>
      <c r="Q932" s="1240"/>
    </row>
    <row r="933" spans="1:17" s="1256" customFormat="1" ht="15" hidden="1" customHeight="1">
      <c r="A933" s="4707"/>
      <c r="B933" s="4710"/>
      <c r="C933" s="4722"/>
      <c r="D933" s="4720"/>
      <c r="E933" s="1249" t="s">
        <v>516</v>
      </c>
      <c r="F933" s="1244">
        <f t="shared" ref="F933:F956" si="48">SUM(G933:J933)</f>
        <v>0</v>
      </c>
      <c r="G933" s="1244"/>
      <c r="H933" s="1244"/>
      <c r="I933" s="1244"/>
      <c r="J933" s="1243"/>
      <c r="K933" s="1255"/>
      <c r="L933" s="1254"/>
      <c r="M933" s="1240"/>
      <c r="N933" s="1240"/>
      <c r="O933" s="1240"/>
      <c r="P933" s="1240"/>
      <c r="Q933" s="1240"/>
    </row>
    <row r="934" spans="1:17" s="1256" customFormat="1" ht="15" hidden="1" customHeight="1">
      <c r="A934" s="4707"/>
      <c r="B934" s="4710"/>
      <c r="C934" s="4722"/>
      <c r="D934" s="4720"/>
      <c r="E934" s="1249" t="s">
        <v>515</v>
      </c>
      <c r="F934" s="1244">
        <f t="shared" si="48"/>
        <v>0</v>
      </c>
      <c r="G934" s="1244"/>
      <c r="H934" s="1244"/>
      <c r="I934" s="1244"/>
      <c r="J934" s="1243"/>
      <c r="K934" s="1255"/>
      <c r="L934" s="1254"/>
      <c r="M934" s="1240"/>
      <c r="N934" s="1240"/>
      <c r="O934" s="1240"/>
      <c r="P934" s="1240"/>
      <c r="Q934" s="1240"/>
    </row>
    <row r="935" spans="1:17" s="1256" customFormat="1" ht="15" customHeight="1">
      <c r="A935" s="4707"/>
      <c r="B935" s="4710"/>
      <c r="C935" s="4722"/>
      <c r="D935" s="4720"/>
      <c r="E935" s="1249" t="s">
        <v>450</v>
      </c>
      <c r="F935" s="1244">
        <f t="shared" si="48"/>
        <v>229500</v>
      </c>
      <c r="G935" s="1244"/>
      <c r="H935" s="1244">
        <v>229500</v>
      </c>
      <c r="I935" s="1244"/>
      <c r="J935" s="1243"/>
      <c r="K935" s="1255"/>
      <c r="L935" s="1254"/>
      <c r="M935" s="1240"/>
      <c r="N935" s="1240"/>
      <c r="O935" s="1240"/>
      <c r="P935" s="1240"/>
      <c r="Q935" s="1240"/>
    </row>
    <row r="936" spans="1:17" s="1256" customFormat="1" ht="15" customHeight="1">
      <c r="A936" s="4707"/>
      <c r="B936" s="4710"/>
      <c r="C936" s="4722"/>
      <c r="D936" s="4720"/>
      <c r="E936" s="1249" t="s">
        <v>449</v>
      </c>
      <c r="F936" s="1244">
        <f t="shared" si="48"/>
        <v>40500</v>
      </c>
      <c r="G936" s="1244">
        <v>40500</v>
      </c>
      <c r="H936" s="1244"/>
      <c r="I936" s="1244"/>
      <c r="J936" s="1243"/>
      <c r="K936" s="1255"/>
      <c r="L936" s="1254"/>
      <c r="M936" s="1240"/>
      <c r="N936" s="1240"/>
      <c r="O936" s="1240"/>
      <c r="P936" s="1240"/>
      <c r="Q936" s="1240"/>
    </row>
    <row r="937" spans="1:17" s="1256" customFormat="1" ht="15" customHeight="1">
      <c r="A937" s="4707"/>
      <c r="B937" s="4710"/>
      <c r="C937" s="4722"/>
      <c r="D937" s="4720"/>
      <c r="E937" s="1249" t="s">
        <v>471</v>
      </c>
      <c r="F937" s="1244">
        <f t="shared" si="48"/>
        <v>8500</v>
      </c>
      <c r="G937" s="1244"/>
      <c r="H937" s="1244">
        <v>8500</v>
      </c>
      <c r="I937" s="1244"/>
      <c r="J937" s="1243"/>
      <c r="K937" s="1255"/>
      <c r="L937" s="1254"/>
      <c r="M937" s="1240"/>
      <c r="N937" s="1240"/>
      <c r="O937" s="1240"/>
      <c r="P937" s="1240"/>
      <c r="Q937" s="1240"/>
    </row>
    <row r="938" spans="1:17" s="1256" customFormat="1" ht="15" customHeight="1">
      <c r="A938" s="4707"/>
      <c r="B938" s="4710"/>
      <c r="C938" s="4722"/>
      <c r="D938" s="4720"/>
      <c r="E938" s="1249" t="s">
        <v>470</v>
      </c>
      <c r="F938" s="1244">
        <f t="shared" si="48"/>
        <v>1500</v>
      </c>
      <c r="G938" s="1244">
        <v>1500</v>
      </c>
      <c r="H938" s="1244"/>
      <c r="I938" s="1244"/>
      <c r="J938" s="1243"/>
      <c r="K938" s="1255"/>
      <c r="L938" s="1254"/>
      <c r="M938" s="1240"/>
      <c r="N938" s="1240"/>
      <c r="O938" s="1240"/>
      <c r="P938" s="1240"/>
      <c r="Q938" s="1240"/>
    </row>
    <row r="939" spans="1:17" s="1256" customFormat="1" ht="15" hidden="1" customHeight="1">
      <c r="A939" s="4707"/>
      <c r="B939" s="4710"/>
      <c r="C939" s="4722"/>
      <c r="D939" s="4720"/>
      <c r="E939" s="1249" t="s">
        <v>514</v>
      </c>
      <c r="F939" s="1244">
        <f t="shared" si="48"/>
        <v>0</v>
      </c>
      <c r="G939" s="1244"/>
      <c r="H939" s="1244"/>
      <c r="I939" s="1244"/>
      <c r="J939" s="1243"/>
      <c r="K939" s="1255"/>
      <c r="L939" s="1254"/>
      <c r="M939" s="1240"/>
      <c r="N939" s="1240"/>
      <c r="O939" s="1240"/>
      <c r="P939" s="1240"/>
      <c r="Q939" s="1240"/>
    </row>
    <row r="940" spans="1:17" s="1256" customFormat="1" ht="15" hidden="1" customHeight="1">
      <c r="A940" s="4707"/>
      <c r="B940" s="4710"/>
      <c r="C940" s="4722"/>
      <c r="D940" s="4720"/>
      <c r="E940" s="1249" t="s">
        <v>513</v>
      </c>
      <c r="F940" s="1244">
        <f t="shared" si="48"/>
        <v>0</v>
      </c>
      <c r="G940" s="1244"/>
      <c r="H940" s="1244"/>
      <c r="I940" s="1244"/>
      <c r="J940" s="1243"/>
      <c r="K940" s="1255"/>
      <c r="L940" s="1254"/>
      <c r="M940" s="1240"/>
      <c r="N940" s="1240"/>
      <c r="O940" s="1240"/>
      <c r="P940" s="1240"/>
      <c r="Q940" s="1240"/>
    </row>
    <row r="941" spans="1:17" s="1256" customFormat="1" ht="15" hidden="1" customHeight="1">
      <c r="A941" s="4707"/>
      <c r="B941" s="4710"/>
      <c r="C941" s="4722"/>
      <c r="D941" s="4720"/>
      <c r="E941" s="1249" t="s">
        <v>512</v>
      </c>
      <c r="F941" s="1244">
        <f t="shared" si="48"/>
        <v>0</v>
      </c>
      <c r="G941" s="1244"/>
      <c r="H941" s="1244"/>
      <c r="I941" s="1244"/>
      <c r="J941" s="1243"/>
      <c r="K941" s="1255"/>
      <c r="L941" s="1254"/>
      <c r="M941" s="1240"/>
      <c r="N941" s="1240"/>
      <c r="O941" s="1240"/>
      <c r="P941" s="1240"/>
      <c r="Q941" s="1240"/>
    </row>
    <row r="942" spans="1:17" s="1256" customFormat="1" ht="15" hidden="1" customHeight="1">
      <c r="A942" s="4707"/>
      <c r="B942" s="4710"/>
      <c r="C942" s="4722"/>
      <c r="D942" s="4720"/>
      <c r="E942" s="1249" t="s">
        <v>511</v>
      </c>
      <c r="F942" s="1244">
        <f t="shared" si="48"/>
        <v>0</v>
      </c>
      <c r="G942" s="1244"/>
      <c r="H942" s="1244"/>
      <c r="I942" s="1244"/>
      <c r="J942" s="1243"/>
      <c r="K942" s="1255"/>
      <c r="L942" s="1254"/>
      <c r="M942" s="1240"/>
      <c r="N942" s="1240"/>
      <c r="O942" s="1240"/>
      <c r="P942" s="1240"/>
      <c r="Q942" s="1240"/>
    </row>
    <row r="943" spans="1:17" s="1256" customFormat="1" ht="15" customHeight="1">
      <c r="A943" s="4707"/>
      <c r="B943" s="4710"/>
      <c r="C943" s="4722"/>
      <c r="D943" s="4720"/>
      <c r="E943" s="1249" t="s">
        <v>446</v>
      </c>
      <c r="F943" s="1244">
        <f t="shared" si="48"/>
        <v>15836100</v>
      </c>
      <c r="G943" s="1244"/>
      <c r="H943" s="1244">
        <v>15836100</v>
      </c>
      <c r="I943" s="1244"/>
      <c r="J943" s="1243"/>
      <c r="K943" s="1255"/>
      <c r="L943" s="1254"/>
      <c r="M943" s="1240"/>
      <c r="N943" s="1240"/>
      <c r="O943" s="1240"/>
      <c r="P943" s="1240"/>
      <c r="Q943" s="1240"/>
    </row>
    <row r="944" spans="1:17" s="1256" customFormat="1" ht="15" customHeight="1">
      <c r="A944" s="4707"/>
      <c r="B944" s="4710"/>
      <c r="C944" s="4722"/>
      <c r="D944" s="4720"/>
      <c r="E944" s="1249" t="s">
        <v>445</v>
      </c>
      <c r="F944" s="1244">
        <f t="shared" si="48"/>
        <v>2794606</v>
      </c>
      <c r="G944" s="1244">
        <v>2794606</v>
      </c>
      <c r="H944" s="1244"/>
      <c r="I944" s="1244"/>
      <c r="J944" s="1243"/>
      <c r="K944" s="1255"/>
      <c r="L944" s="1254"/>
      <c r="M944" s="1240"/>
      <c r="N944" s="1240"/>
      <c r="O944" s="1240"/>
      <c r="P944" s="1240"/>
      <c r="Q944" s="1240"/>
    </row>
    <row r="945" spans="1:17" s="1256" customFormat="1" ht="15" hidden="1" customHeight="1">
      <c r="A945" s="4707"/>
      <c r="B945" s="4710"/>
      <c r="C945" s="4722"/>
      <c r="D945" s="4720"/>
      <c r="E945" s="1249" t="s">
        <v>444</v>
      </c>
      <c r="F945" s="1244">
        <f t="shared" si="48"/>
        <v>0</v>
      </c>
      <c r="G945" s="1244"/>
      <c r="H945" s="1244"/>
      <c r="I945" s="1244"/>
      <c r="J945" s="1243"/>
      <c r="K945" s="1255"/>
      <c r="L945" s="1254"/>
      <c r="M945" s="1240"/>
      <c r="N945" s="1240"/>
      <c r="O945" s="1240"/>
      <c r="P945" s="1240"/>
      <c r="Q945" s="1240"/>
    </row>
    <row r="946" spans="1:17" s="1256" customFormat="1" ht="15" hidden="1" customHeight="1">
      <c r="A946" s="4707"/>
      <c r="B946" s="4710"/>
      <c r="C946" s="4722"/>
      <c r="D946" s="4720"/>
      <c r="E946" s="1249" t="s">
        <v>443</v>
      </c>
      <c r="F946" s="1244">
        <f t="shared" si="48"/>
        <v>0</v>
      </c>
      <c r="G946" s="1244"/>
      <c r="H946" s="1244"/>
      <c r="I946" s="1244"/>
      <c r="J946" s="1243"/>
      <c r="K946" s="1255"/>
      <c r="L946" s="1254"/>
      <c r="M946" s="1240"/>
      <c r="N946" s="1240"/>
      <c r="O946" s="1240"/>
      <c r="P946" s="1240"/>
      <c r="Q946" s="1240"/>
    </row>
    <row r="947" spans="1:17" s="1256" customFormat="1" ht="15" customHeight="1">
      <c r="A947" s="4707"/>
      <c r="B947" s="4710"/>
      <c r="C947" s="4722"/>
      <c r="D947" s="4720"/>
      <c r="E947" s="1249" t="s">
        <v>510</v>
      </c>
      <c r="F947" s="1244">
        <f t="shared" si="48"/>
        <v>663000</v>
      </c>
      <c r="G947" s="1244"/>
      <c r="H947" s="1244">
        <v>663000</v>
      </c>
      <c r="I947" s="1244"/>
      <c r="J947" s="1243"/>
      <c r="K947" s="1255"/>
      <c r="L947" s="1254"/>
      <c r="M947" s="1240"/>
      <c r="N947" s="1240"/>
      <c r="O947" s="1240"/>
      <c r="P947" s="1240"/>
      <c r="Q947" s="1240"/>
    </row>
    <row r="948" spans="1:17" s="1256" customFormat="1" ht="15" customHeight="1">
      <c r="A948" s="4707"/>
      <c r="B948" s="4710"/>
      <c r="C948" s="4722"/>
      <c r="D948" s="4720"/>
      <c r="E948" s="1249" t="s">
        <v>509</v>
      </c>
      <c r="F948" s="1244">
        <f t="shared" si="48"/>
        <v>117000</v>
      </c>
      <c r="G948" s="1244">
        <v>117000</v>
      </c>
      <c r="H948" s="1244"/>
      <c r="I948" s="1244"/>
      <c r="J948" s="1243"/>
      <c r="K948" s="1255"/>
      <c r="L948" s="1254"/>
      <c r="M948" s="1240"/>
      <c r="N948" s="1240"/>
      <c r="O948" s="1240"/>
      <c r="P948" s="1240"/>
      <c r="Q948" s="1240"/>
    </row>
    <row r="949" spans="1:17" s="1256" customFormat="1" ht="15" customHeight="1">
      <c r="A949" s="4707"/>
      <c r="B949" s="4710"/>
      <c r="C949" s="4722"/>
      <c r="D949" s="4720"/>
      <c r="E949" s="1249" t="s">
        <v>467</v>
      </c>
      <c r="F949" s="1244">
        <f t="shared" si="48"/>
        <v>8500</v>
      </c>
      <c r="G949" s="1244"/>
      <c r="H949" s="1244">
        <v>8500</v>
      </c>
      <c r="I949" s="1244"/>
      <c r="J949" s="1243"/>
      <c r="K949" s="1255"/>
      <c r="L949" s="1254"/>
      <c r="M949" s="1240"/>
      <c r="N949" s="1240"/>
      <c r="O949" s="1240"/>
      <c r="P949" s="1240"/>
      <c r="Q949" s="1240"/>
    </row>
    <row r="950" spans="1:17" s="1256" customFormat="1" ht="15" customHeight="1">
      <c r="A950" s="4707"/>
      <c r="B950" s="4710"/>
      <c r="C950" s="4722"/>
      <c r="D950" s="4720"/>
      <c r="E950" s="1249" t="s">
        <v>466</v>
      </c>
      <c r="F950" s="1244">
        <f t="shared" si="48"/>
        <v>1500</v>
      </c>
      <c r="G950" s="1244">
        <v>1500</v>
      </c>
      <c r="H950" s="1244"/>
      <c r="I950" s="1244"/>
      <c r="J950" s="1243"/>
      <c r="K950" s="1255"/>
      <c r="L950" s="1254"/>
      <c r="M950" s="1240"/>
      <c r="N950" s="1240"/>
      <c r="O950" s="1240"/>
      <c r="P950" s="1240"/>
      <c r="Q950" s="1240"/>
    </row>
    <row r="951" spans="1:17" s="1256" customFormat="1" ht="15" customHeight="1">
      <c r="A951" s="4707"/>
      <c r="B951" s="4710"/>
      <c r="C951" s="4722"/>
      <c r="D951" s="4720"/>
      <c r="E951" s="1249" t="s">
        <v>490</v>
      </c>
      <c r="F951" s="1244">
        <f t="shared" si="48"/>
        <v>22617</v>
      </c>
      <c r="G951" s="1244"/>
      <c r="H951" s="1244">
        <v>22617</v>
      </c>
      <c r="I951" s="1244"/>
      <c r="J951" s="1243"/>
      <c r="K951" s="1255"/>
      <c r="L951" s="1254"/>
      <c r="M951" s="1240"/>
      <c r="N951" s="1240"/>
      <c r="O951" s="1240"/>
      <c r="P951" s="1240"/>
      <c r="Q951" s="1240"/>
    </row>
    <row r="952" spans="1:17" s="1256" customFormat="1" ht="15" customHeight="1">
      <c r="A952" s="4707"/>
      <c r="B952" s="4710"/>
      <c r="C952" s="4722"/>
      <c r="D952" s="4720"/>
      <c r="E952" s="1249" t="s">
        <v>489</v>
      </c>
      <c r="F952" s="1244">
        <f t="shared" si="48"/>
        <v>3991</v>
      </c>
      <c r="G952" s="1244">
        <v>3991</v>
      </c>
      <c r="H952" s="1244"/>
      <c r="I952" s="1244"/>
      <c r="J952" s="1243"/>
      <c r="K952" s="1255"/>
      <c r="L952" s="1254"/>
      <c r="M952" s="1240"/>
      <c r="N952" s="1240"/>
      <c r="O952" s="1240"/>
      <c r="P952" s="1240"/>
      <c r="Q952" s="1240"/>
    </row>
    <row r="953" spans="1:17" s="1256" customFormat="1" ht="15" hidden="1" customHeight="1">
      <c r="A953" s="4707"/>
      <c r="B953" s="4710"/>
      <c r="C953" s="4722"/>
      <c r="D953" s="4720"/>
      <c r="E953" s="1249" t="s">
        <v>508</v>
      </c>
      <c r="F953" s="1244">
        <f t="shared" si="48"/>
        <v>0</v>
      </c>
      <c r="G953" s="1244"/>
      <c r="H953" s="1244"/>
      <c r="I953" s="1244"/>
      <c r="J953" s="1243"/>
      <c r="K953" s="1255"/>
      <c r="L953" s="1254"/>
      <c r="M953" s="1240"/>
      <c r="N953" s="1240"/>
      <c r="O953" s="1240"/>
      <c r="P953" s="1240"/>
      <c r="Q953" s="1240"/>
    </row>
    <row r="954" spans="1:17" s="1256" customFormat="1" ht="15" hidden="1" customHeight="1">
      <c r="A954" s="4707"/>
      <c r="B954" s="4710"/>
      <c r="C954" s="4722"/>
      <c r="D954" s="4720"/>
      <c r="E954" s="1249" t="s">
        <v>507</v>
      </c>
      <c r="F954" s="1244">
        <f t="shared" si="48"/>
        <v>0</v>
      </c>
      <c r="G954" s="1244"/>
      <c r="H954" s="1244"/>
      <c r="I954" s="1244"/>
      <c r="J954" s="1243"/>
      <c r="K954" s="1255"/>
      <c r="L954" s="1254"/>
      <c r="M954" s="1240"/>
      <c r="N954" s="1240"/>
      <c r="O954" s="1240"/>
      <c r="P954" s="1240"/>
      <c r="Q954" s="1240"/>
    </row>
    <row r="955" spans="1:17" s="1256" customFormat="1" ht="15" hidden="1" customHeight="1">
      <c r="A955" s="4707"/>
      <c r="B955" s="4710"/>
      <c r="C955" s="4722"/>
      <c r="D955" s="4720"/>
      <c r="E955" s="1249" t="s">
        <v>486</v>
      </c>
      <c r="F955" s="1244">
        <f t="shared" si="48"/>
        <v>0</v>
      </c>
      <c r="G955" s="1244"/>
      <c r="H955" s="1244"/>
      <c r="I955" s="1244"/>
      <c r="J955" s="1243"/>
      <c r="K955" s="1255"/>
      <c r="L955" s="1254"/>
      <c r="M955" s="1240"/>
      <c r="N955" s="1240"/>
      <c r="O955" s="1240"/>
      <c r="P955" s="1240"/>
      <c r="Q955" s="1240"/>
    </row>
    <row r="956" spans="1:17" s="1256" customFormat="1" ht="15" hidden="1" customHeight="1">
      <c r="A956" s="4707"/>
      <c r="B956" s="4710"/>
      <c r="C956" s="4722"/>
      <c r="D956" s="4720"/>
      <c r="E956" s="1249" t="s">
        <v>485</v>
      </c>
      <c r="F956" s="1244">
        <f t="shared" si="48"/>
        <v>0</v>
      </c>
      <c r="G956" s="1244"/>
      <c r="H956" s="1244"/>
      <c r="I956" s="1244"/>
      <c r="J956" s="1243"/>
      <c r="K956" s="1255"/>
      <c r="L956" s="1254"/>
      <c r="M956" s="1240"/>
      <c r="N956" s="1240"/>
      <c r="O956" s="1240"/>
      <c r="P956" s="1240"/>
      <c r="Q956" s="1240"/>
    </row>
    <row r="957" spans="1:17" s="1256" customFormat="1" ht="15" customHeight="1">
      <c r="A957" s="4708"/>
      <c r="B957" s="4711"/>
      <c r="C957" s="4696"/>
      <c r="D957" s="4719"/>
      <c r="E957" s="1239" t="s">
        <v>423</v>
      </c>
      <c r="F957" s="1238">
        <f>SUM(F958:F961)</f>
        <v>0</v>
      </c>
      <c r="G957" s="1238">
        <f>SUM(G958:G961)</f>
        <v>0</v>
      </c>
      <c r="H957" s="1238">
        <f>SUM(H958:H961)</f>
        <v>0</v>
      </c>
      <c r="I957" s="1238">
        <f>SUM(I958:I961)</f>
        <v>0</v>
      </c>
      <c r="J957" s="1237">
        <f>SUM(J958:J961)</f>
        <v>0</v>
      </c>
      <c r="K957" s="1255"/>
      <c r="L957" s="1254"/>
      <c r="M957" s="1240"/>
      <c r="N957" s="1240"/>
      <c r="O957" s="1240"/>
      <c r="P957" s="1240"/>
    </row>
    <row r="958" spans="1:17" s="1256" customFormat="1" ht="15" hidden="1" customHeight="1">
      <c r="A958" s="1289"/>
      <c r="B958" s="1288"/>
      <c r="C958" s="1287"/>
      <c r="D958" s="1286"/>
      <c r="E958" s="1292" t="s">
        <v>506</v>
      </c>
      <c r="F958" s="1291">
        <f>SUM(G958:J958)</f>
        <v>0</v>
      </c>
      <c r="G958" s="1291"/>
      <c r="H958" s="1291"/>
      <c r="I958" s="1291"/>
      <c r="J958" s="1290"/>
      <c r="K958" s="1255"/>
      <c r="L958" s="1254"/>
      <c r="M958" s="1240"/>
      <c r="N958" s="1240"/>
      <c r="O958" s="1240"/>
      <c r="P958" s="1240"/>
    </row>
    <row r="959" spans="1:17" s="1256" customFormat="1" ht="15" hidden="1" customHeight="1">
      <c r="A959" s="1289"/>
      <c r="B959" s="1288"/>
      <c r="C959" s="1287"/>
      <c r="D959" s="1286"/>
      <c r="E959" s="1249" t="s">
        <v>505</v>
      </c>
      <c r="F959" s="1244">
        <f>SUM(G959:J959)</f>
        <v>0</v>
      </c>
      <c r="G959" s="1244"/>
      <c r="H959" s="1244"/>
      <c r="I959" s="1244"/>
      <c r="J959" s="1243"/>
      <c r="K959" s="1255"/>
      <c r="L959" s="1254"/>
      <c r="M959" s="1240"/>
      <c r="N959" s="1240"/>
      <c r="O959" s="1240"/>
      <c r="P959" s="1240"/>
    </row>
    <row r="960" spans="1:17" s="1256" customFormat="1" ht="15" hidden="1" customHeight="1">
      <c r="A960" s="1289"/>
      <c r="B960" s="1288"/>
      <c r="C960" s="1287"/>
      <c r="D960" s="1286"/>
      <c r="E960" s="1249" t="s">
        <v>504</v>
      </c>
      <c r="F960" s="1244">
        <f>SUM(G960:J960)</f>
        <v>0</v>
      </c>
      <c r="G960" s="1244"/>
      <c r="H960" s="1244"/>
      <c r="I960" s="1244"/>
      <c r="J960" s="1243"/>
      <c r="K960" s="1255"/>
      <c r="L960" s="1254"/>
      <c r="M960" s="1240"/>
      <c r="N960" s="1240"/>
      <c r="O960" s="1240"/>
      <c r="P960" s="1240"/>
    </row>
    <row r="961" spans="1:17" s="1256" customFormat="1" ht="15" hidden="1" customHeight="1">
      <c r="A961" s="1285"/>
      <c r="B961" s="1284"/>
      <c r="C961" s="1283"/>
      <c r="D961" s="1282"/>
      <c r="E961" s="1281">
        <v>6069</v>
      </c>
      <c r="F961" s="1244">
        <f>SUM(G961:J961)</f>
        <v>0</v>
      </c>
      <c r="G961" s="1244"/>
      <c r="H961" s="1244"/>
      <c r="I961" s="1244"/>
      <c r="J961" s="1243"/>
      <c r="K961" s="1255"/>
      <c r="L961" s="1254"/>
      <c r="M961" s="1240"/>
      <c r="N961" s="1240"/>
      <c r="O961" s="1240"/>
      <c r="P961" s="1240"/>
    </row>
    <row r="962" spans="1:17" s="1256" customFormat="1" ht="22.5" hidden="1">
      <c r="A962" s="4669"/>
      <c r="B962" s="4672" t="s">
        <v>503</v>
      </c>
      <c r="C962" s="4675">
        <v>853</v>
      </c>
      <c r="D962" s="4678" t="s">
        <v>502</v>
      </c>
      <c r="E962" s="1269" t="s">
        <v>435</v>
      </c>
      <c r="F962" s="1268">
        <f>SUM(F963,F973)</f>
        <v>0</v>
      </c>
      <c r="G962" s="1268">
        <f>SUM(G963,G973)</f>
        <v>0</v>
      </c>
      <c r="H962" s="1268">
        <f>SUM(H963,H973)</f>
        <v>0</v>
      </c>
      <c r="I962" s="1268">
        <f>SUM(I963,I973)</f>
        <v>0</v>
      </c>
      <c r="J962" s="1267">
        <f>SUM(J963,J973)</f>
        <v>0</v>
      </c>
      <c r="K962" s="1255"/>
      <c r="L962" s="1254"/>
      <c r="M962" s="1240"/>
      <c r="N962" s="1240"/>
      <c r="O962" s="1240"/>
      <c r="P962" s="1240"/>
      <c r="Q962" s="1240"/>
    </row>
    <row r="963" spans="1:17" s="1256" customFormat="1" ht="21" hidden="1">
      <c r="A963" s="4670"/>
      <c r="B963" s="4673"/>
      <c r="C963" s="4676"/>
      <c r="D963" s="4679"/>
      <c r="E963" s="1266" t="s">
        <v>434</v>
      </c>
      <c r="F963" s="1261">
        <f>SUM(F964,F967,F970)</f>
        <v>0</v>
      </c>
      <c r="G963" s="1261">
        <f>SUM(G964,G967,G970)</f>
        <v>0</v>
      </c>
      <c r="H963" s="1261">
        <f>SUM(H964,H967,H970)</f>
        <v>0</v>
      </c>
      <c r="I963" s="1261">
        <f>SUM(I964,I967,I970)</f>
        <v>0</v>
      </c>
      <c r="J963" s="1260">
        <f>SUM(J964,J967,J970)</f>
        <v>0</v>
      </c>
      <c r="K963" s="1272"/>
      <c r="L963" s="1254"/>
      <c r="M963" s="1254"/>
      <c r="N963" s="1254"/>
      <c r="O963" s="1254"/>
      <c r="P963" s="1254"/>
      <c r="Q963" s="1240"/>
    </row>
    <row r="964" spans="1:17" s="1256" customFormat="1" ht="15" hidden="1" customHeight="1">
      <c r="A964" s="4670"/>
      <c r="B964" s="4673"/>
      <c r="C964" s="4676"/>
      <c r="D964" s="4679"/>
      <c r="E964" s="1265" t="s">
        <v>433</v>
      </c>
      <c r="F964" s="1264">
        <f>SUM(F965:F966)</f>
        <v>0</v>
      </c>
      <c r="G964" s="1264">
        <f>SUM(G965:G966)</f>
        <v>0</v>
      </c>
      <c r="H964" s="1264">
        <f>SUM(H965:H966)</f>
        <v>0</v>
      </c>
      <c r="I964" s="1264">
        <f>SUM(I965:I966)</f>
        <v>0</v>
      </c>
      <c r="J964" s="1263">
        <f>SUM(J965:J966)</f>
        <v>0</v>
      </c>
      <c r="K964" s="1255"/>
      <c r="L964" s="1254"/>
      <c r="M964" s="1240"/>
      <c r="N964" s="1240"/>
      <c r="O964" s="1240"/>
      <c r="P964" s="1240"/>
      <c r="Q964" s="1240"/>
    </row>
    <row r="965" spans="1:17" s="1256" customFormat="1" ht="15" hidden="1" customHeight="1">
      <c r="A965" s="4670"/>
      <c r="B965" s="4673"/>
      <c r="C965" s="4676"/>
      <c r="D965" s="4679"/>
      <c r="E965" s="1236"/>
      <c r="F965" s="1230">
        <f>SUM(G965:J965)</f>
        <v>0</v>
      </c>
      <c r="G965" s="1230"/>
      <c r="H965" s="1230"/>
      <c r="I965" s="1230"/>
      <c r="J965" s="1229"/>
      <c r="K965" s="1255"/>
      <c r="L965" s="1254"/>
      <c r="M965" s="1240"/>
      <c r="N965" s="1240"/>
      <c r="O965" s="1240"/>
      <c r="P965" s="1240"/>
      <c r="Q965" s="1240"/>
    </row>
    <row r="966" spans="1:17" s="1256" customFormat="1" ht="15" hidden="1" customHeight="1">
      <c r="A966" s="4670"/>
      <c r="B966" s="4673"/>
      <c r="C966" s="4676"/>
      <c r="D966" s="4679"/>
      <c r="E966" s="1236"/>
      <c r="F966" s="1230">
        <f>SUM(G966:J966)</f>
        <v>0</v>
      </c>
      <c r="G966" s="1230"/>
      <c r="H966" s="1230"/>
      <c r="I966" s="1230"/>
      <c r="J966" s="1229"/>
      <c r="K966" s="1255"/>
      <c r="L966" s="1254"/>
      <c r="M966" s="1240"/>
      <c r="N966" s="1240"/>
      <c r="O966" s="1240"/>
      <c r="P966" s="1240"/>
      <c r="Q966" s="1240"/>
    </row>
    <row r="967" spans="1:17" s="1256" customFormat="1" ht="15" hidden="1" customHeight="1">
      <c r="A967" s="4670"/>
      <c r="B967" s="4673"/>
      <c r="C967" s="4676"/>
      <c r="D967" s="4679"/>
      <c r="E967" s="1265" t="s">
        <v>432</v>
      </c>
      <c r="F967" s="1264">
        <f>SUM(F968:F969)</f>
        <v>0</v>
      </c>
      <c r="G967" s="1264">
        <f>SUM(G968:G969)</f>
        <v>0</v>
      </c>
      <c r="H967" s="1264">
        <f>SUM(H968:H969)</f>
        <v>0</v>
      </c>
      <c r="I967" s="1264">
        <f>SUM(I968:I969)</f>
        <v>0</v>
      </c>
      <c r="J967" s="1263">
        <f>SUM(J968:J969)</f>
        <v>0</v>
      </c>
      <c r="K967" s="1272"/>
      <c r="L967" s="1254"/>
      <c r="M967" s="1254"/>
      <c r="N967" s="1254"/>
      <c r="O967" s="1254"/>
      <c r="P967" s="1254"/>
      <c r="Q967" s="1240"/>
    </row>
    <row r="968" spans="1:17" s="1256" customFormat="1" ht="15" hidden="1" customHeight="1">
      <c r="A968" s="4670"/>
      <c r="B968" s="4673"/>
      <c r="C968" s="4676"/>
      <c r="D968" s="4679"/>
      <c r="E968" s="1236"/>
      <c r="F968" s="1230">
        <f>SUM(G968:J968)</f>
        <v>0</v>
      </c>
      <c r="G968" s="1230"/>
      <c r="H968" s="1230"/>
      <c r="I968" s="1230"/>
      <c r="J968" s="1229"/>
      <c r="K968" s="1280"/>
      <c r="L968" s="1279"/>
      <c r="M968" s="1279"/>
      <c r="N968" s="1279"/>
      <c r="O968" s="1279"/>
      <c r="P968" s="1254"/>
      <c r="Q968" s="1240"/>
    </row>
    <row r="969" spans="1:17" s="1256" customFormat="1" ht="15" hidden="1" customHeight="1">
      <c r="A969" s="4670"/>
      <c r="B969" s="4673"/>
      <c r="C969" s="4676"/>
      <c r="D969" s="4679"/>
      <c r="E969" s="1236"/>
      <c r="F969" s="1230">
        <f>SUM(G969:J969)</f>
        <v>0</v>
      </c>
      <c r="G969" s="1230"/>
      <c r="H969" s="1230"/>
      <c r="I969" s="1230"/>
      <c r="J969" s="1229"/>
      <c r="K969" s="1255"/>
      <c r="L969" s="1254"/>
      <c r="M969" s="1240"/>
      <c r="N969" s="1240"/>
      <c r="O969" s="1240"/>
      <c r="P969" s="1240"/>
      <c r="Q969" s="1240"/>
    </row>
    <row r="970" spans="1:17" s="1256" customFormat="1" ht="15" hidden="1" customHeight="1">
      <c r="A970" s="4670"/>
      <c r="B970" s="4673"/>
      <c r="C970" s="4676"/>
      <c r="D970" s="4679"/>
      <c r="E970" s="1265" t="s">
        <v>427</v>
      </c>
      <c r="F970" s="1264">
        <f>SUM(F971:F972)</f>
        <v>0</v>
      </c>
      <c r="G970" s="1264">
        <f>SUM(G971:G972)</f>
        <v>0</v>
      </c>
      <c r="H970" s="1264">
        <f>SUM(H971:H972)</f>
        <v>0</v>
      </c>
      <c r="I970" s="1264">
        <f>SUM(I971:I972)</f>
        <v>0</v>
      </c>
      <c r="J970" s="1263">
        <f>SUM(J971:J972)</f>
        <v>0</v>
      </c>
      <c r="K970" s="1255"/>
      <c r="L970" s="1254"/>
      <c r="M970" s="1240"/>
      <c r="N970" s="1240"/>
      <c r="O970" s="1240"/>
      <c r="P970" s="1240"/>
      <c r="Q970" s="1240"/>
    </row>
    <row r="971" spans="1:17" s="1256" customFormat="1" ht="15" hidden="1" customHeight="1">
      <c r="A971" s="4670"/>
      <c r="B971" s="4673"/>
      <c r="C971" s="4676"/>
      <c r="D971" s="4679"/>
      <c r="E971" s="1236" t="s">
        <v>501</v>
      </c>
      <c r="F971" s="1230">
        <f>SUM(G971:J971)</f>
        <v>0</v>
      </c>
      <c r="G971" s="1230"/>
      <c r="H971" s="1230"/>
      <c r="I971" s="1230"/>
      <c r="J971" s="1229"/>
      <c r="K971" s="1255"/>
      <c r="L971" s="1254"/>
      <c r="M971" s="1240"/>
      <c r="N971" s="1240"/>
      <c r="O971" s="1240"/>
      <c r="P971" s="1240"/>
      <c r="Q971" s="1240"/>
    </row>
    <row r="972" spans="1:17" s="1256" customFormat="1" ht="15" hidden="1" customHeight="1">
      <c r="A972" s="4670"/>
      <c r="B972" s="4673"/>
      <c r="C972" s="4676"/>
      <c r="D972" s="4679"/>
      <c r="E972" s="1236"/>
      <c r="F972" s="1230">
        <f>SUM(G972:J972)</f>
        <v>0</v>
      </c>
      <c r="G972" s="1230"/>
      <c r="H972" s="1230"/>
      <c r="I972" s="1230"/>
      <c r="J972" s="1229"/>
      <c r="K972" s="1255"/>
      <c r="L972" s="1254"/>
      <c r="M972" s="1240"/>
      <c r="N972" s="1240"/>
      <c r="O972" s="1240"/>
      <c r="P972" s="1240"/>
      <c r="Q972" s="1240"/>
    </row>
    <row r="973" spans="1:17" s="1256" customFormat="1" ht="15" hidden="1" customHeight="1">
      <c r="A973" s="4671"/>
      <c r="B973" s="4674"/>
      <c r="C973" s="4677"/>
      <c r="D973" s="4680"/>
      <c r="E973" s="1262" t="s">
        <v>423</v>
      </c>
      <c r="F973" s="1261">
        <f>SUM(F974:F975)</f>
        <v>0</v>
      </c>
      <c r="G973" s="1261">
        <f>SUM(G974:G975)</f>
        <v>0</v>
      </c>
      <c r="H973" s="1261">
        <f>SUM(H974:H975)</f>
        <v>0</v>
      </c>
      <c r="I973" s="1261">
        <f>SUM(I974:I975)</f>
        <v>0</v>
      </c>
      <c r="J973" s="1260">
        <f>SUM(J974:J975)</f>
        <v>0</v>
      </c>
      <c r="K973" s="1255"/>
      <c r="L973" s="1254"/>
      <c r="M973" s="1240"/>
      <c r="N973" s="1240"/>
      <c r="O973" s="1240"/>
      <c r="P973" s="1240"/>
      <c r="Q973" s="1240"/>
    </row>
    <row r="974" spans="1:17" s="1240" customFormat="1" ht="15" hidden="1" customHeight="1">
      <c r="A974" s="1235"/>
      <c r="B974" s="1234"/>
      <c r="C974" s="1233"/>
      <c r="D974" s="1232"/>
      <c r="E974" s="1236" t="s">
        <v>500</v>
      </c>
      <c r="F974" s="1230">
        <f>SUM(G974:J974)</f>
        <v>0</v>
      </c>
      <c r="G974" s="1230"/>
      <c r="H974" s="1230"/>
      <c r="I974" s="1230"/>
      <c r="J974" s="1229"/>
      <c r="K974" s="1255"/>
      <c r="L974" s="1254"/>
    </row>
    <row r="975" spans="1:17" s="1240" customFormat="1" ht="15" hidden="1" customHeight="1">
      <c r="A975" s="1235"/>
      <c r="B975" s="1234"/>
      <c r="C975" s="1233"/>
      <c r="D975" s="1232"/>
      <c r="E975" s="1231">
        <v>6069</v>
      </c>
      <c r="F975" s="1230">
        <f>SUM(G975:J975)</f>
        <v>0</v>
      </c>
      <c r="G975" s="1230"/>
      <c r="H975" s="1230"/>
      <c r="I975" s="1230"/>
      <c r="J975" s="1229"/>
      <c r="K975" s="1255"/>
      <c r="L975" s="1254"/>
    </row>
    <row r="976" spans="1:17" s="1256" customFormat="1" ht="30" customHeight="1">
      <c r="A976" s="1259" t="s">
        <v>499</v>
      </c>
      <c r="B976" s="4688" t="s">
        <v>498</v>
      </c>
      <c r="C976" s="4688"/>
      <c r="D976" s="4688"/>
      <c r="E976" s="4688"/>
      <c r="F976" s="1258">
        <f>F978+F997</f>
        <v>3903172</v>
      </c>
      <c r="G976" s="1258">
        <f>G978+G997</f>
        <v>0</v>
      </c>
      <c r="H976" s="1258">
        <f>H978+H997</f>
        <v>3320702</v>
      </c>
      <c r="I976" s="1258">
        <f>I978+I997</f>
        <v>582470</v>
      </c>
      <c r="J976" s="1257">
        <f>J978+J997</f>
        <v>0</v>
      </c>
      <c r="K976" s="1242"/>
      <c r="L976" s="1275"/>
      <c r="M976" s="1275"/>
      <c r="N976" s="1241"/>
    </row>
    <row r="977" spans="1:14" s="1240" customFormat="1" ht="15" customHeight="1">
      <c r="A977" s="4689"/>
      <c r="B977" s="4690"/>
      <c r="C977" s="4690"/>
      <c r="D977" s="4690"/>
      <c r="E977" s="4690"/>
      <c r="F977" s="4690"/>
      <c r="G977" s="4690"/>
      <c r="H977" s="4690"/>
      <c r="I977" s="4690"/>
      <c r="J977" s="4691"/>
      <c r="K977" s="1255"/>
      <c r="L977" s="1278"/>
      <c r="M977" s="1254"/>
    </row>
    <row r="978" spans="1:14" s="1240" customFormat="1" ht="22.5">
      <c r="A978" s="4706" t="s">
        <v>473</v>
      </c>
      <c r="B978" s="4709" t="s">
        <v>497</v>
      </c>
      <c r="C978" s="4695">
        <v>852</v>
      </c>
      <c r="D978" s="4718" t="s">
        <v>495</v>
      </c>
      <c r="E978" s="1253" t="s">
        <v>435</v>
      </c>
      <c r="F978" s="1252">
        <f>SUM(F979,F994)</f>
        <v>31191</v>
      </c>
      <c r="G978" s="1252">
        <f>SUM(G979,G994)</f>
        <v>0</v>
      </c>
      <c r="H978" s="1252">
        <f>SUM(H979,H994)</f>
        <v>31191</v>
      </c>
      <c r="I978" s="1252">
        <f>SUM(I979,I994)</f>
        <v>0</v>
      </c>
      <c r="J978" s="1251">
        <f>SUM(J979,J994)</f>
        <v>0</v>
      </c>
      <c r="K978" s="1276"/>
      <c r="L978" s="1277"/>
      <c r="M978" s="1254"/>
      <c r="N978" s="1254"/>
    </row>
    <row r="979" spans="1:14" s="1240" customFormat="1" ht="21">
      <c r="A979" s="4707"/>
      <c r="B979" s="4710"/>
      <c r="C979" s="4722"/>
      <c r="D979" s="4720"/>
      <c r="E979" s="1250" t="s">
        <v>434</v>
      </c>
      <c r="F979" s="1238">
        <f>SUM(F980,F988)</f>
        <v>31191</v>
      </c>
      <c r="G979" s="1238">
        <f>SUM(G980,G988)</f>
        <v>0</v>
      </c>
      <c r="H979" s="1238">
        <f>SUM(H980,H988)</f>
        <v>31191</v>
      </c>
      <c r="I979" s="1238">
        <f>SUM(I980,I988)</f>
        <v>0</v>
      </c>
      <c r="J979" s="1237">
        <f>SUM(J980,J988)</f>
        <v>0</v>
      </c>
      <c r="K979" s="1276"/>
      <c r="L979" s="1275"/>
      <c r="M979" s="1254"/>
    </row>
    <row r="980" spans="1:14" s="1240" customFormat="1" ht="22.5">
      <c r="A980" s="4707"/>
      <c r="B980" s="4710"/>
      <c r="C980" s="4722"/>
      <c r="D980" s="4720"/>
      <c r="E980" s="1248" t="s">
        <v>432</v>
      </c>
      <c r="F980" s="1247">
        <f>SUM(F981:F987)</f>
        <v>31191</v>
      </c>
      <c r="G980" s="1247">
        <f>SUM(G981:G987)</f>
        <v>0</v>
      </c>
      <c r="H980" s="1247">
        <f>SUM(H981:H987)</f>
        <v>31191</v>
      </c>
      <c r="I980" s="1247">
        <f>SUM(I981:I987)</f>
        <v>0</v>
      </c>
      <c r="J980" s="1246">
        <f>SUM(J981:J987)</f>
        <v>0</v>
      </c>
      <c r="K980" s="1242"/>
      <c r="L980" s="1275"/>
      <c r="M980" s="1254"/>
    </row>
    <row r="981" spans="1:14" s="1240" customFormat="1" ht="15" hidden="1" customHeight="1">
      <c r="A981" s="4707"/>
      <c r="B981" s="4710"/>
      <c r="C981" s="4722"/>
      <c r="D981" s="4720"/>
      <c r="E981" s="1249" t="s">
        <v>462</v>
      </c>
      <c r="F981" s="1244">
        <f t="shared" ref="F981:F987" si="49">SUM(G981:J981)</f>
        <v>0</v>
      </c>
      <c r="G981" s="1244"/>
      <c r="H981" s="1244"/>
      <c r="I981" s="1244"/>
      <c r="J981" s="1243"/>
      <c r="K981" s="1242"/>
      <c r="L981" s="1274"/>
      <c r="M981" s="1254"/>
    </row>
    <row r="982" spans="1:14" s="1240" customFormat="1" ht="15" hidden="1" customHeight="1">
      <c r="A982" s="4707"/>
      <c r="B982" s="4710"/>
      <c r="C982" s="4722"/>
      <c r="D982" s="4720"/>
      <c r="E982" s="1249" t="s">
        <v>461</v>
      </c>
      <c r="F982" s="1244">
        <f t="shared" si="49"/>
        <v>0</v>
      </c>
      <c r="G982" s="1244"/>
      <c r="H982" s="1244"/>
      <c r="I982" s="1244"/>
      <c r="J982" s="1243"/>
      <c r="K982" s="1242"/>
      <c r="L982" s="1274"/>
      <c r="M982" s="1254"/>
    </row>
    <row r="983" spans="1:14" s="1240" customFormat="1" ht="14.1" customHeight="1">
      <c r="A983" s="4707"/>
      <c r="B983" s="4710"/>
      <c r="C983" s="4722"/>
      <c r="D983" s="4720"/>
      <c r="E983" s="1249" t="s">
        <v>494</v>
      </c>
      <c r="F983" s="1244">
        <f t="shared" si="49"/>
        <v>25520</v>
      </c>
      <c r="G983" s="1244"/>
      <c r="H983" s="1244">
        <v>25520</v>
      </c>
      <c r="I983" s="1244"/>
      <c r="J983" s="1243"/>
      <c r="K983" s="1242"/>
      <c r="L983" s="1274"/>
      <c r="M983" s="1254"/>
    </row>
    <row r="984" spans="1:14" s="1240" customFormat="1" ht="14.1" customHeight="1">
      <c r="A984" s="4707"/>
      <c r="B984" s="4710"/>
      <c r="C984" s="4722"/>
      <c r="D984" s="4720"/>
      <c r="E984" s="1249" t="s">
        <v>460</v>
      </c>
      <c r="F984" s="1244">
        <f t="shared" si="49"/>
        <v>4408</v>
      </c>
      <c r="G984" s="1244"/>
      <c r="H984" s="1244">
        <v>4408</v>
      </c>
      <c r="I984" s="1244"/>
      <c r="J984" s="1243"/>
      <c r="K984" s="1242"/>
      <c r="L984" s="1274"/>
      <c r="M984" s="1254"/>
    </row>
    <row r="985" spans="1:14" s="1240" customFormat="1" ht="14.1" customHeight="1">
      <c r="A985" s="4707"/>
      <c r="B985" s="4710"/>
      <c r="C985" s="4722"/>
      <c r="D985" s="4720"/>
      <c r="E985" s="1249" t="s">
        <v>458</v>
      </c>
      <c r="F985" s="1244">
        <f t="shared" si="49"/>
        <v>625</v>
      </c>
      <c r="G985" s="1244"/>
      <c r="H985" s="1244">
        <v>625</v>
      </c>
      <c r="I985" s="1244"/>
      <c r="J985" s="1243"/>
      <c r="K985" s="1242"/>
      <c r="L985" s="1274"/>
      <c r="M985" s="1254"/>
    </row>
    <row r="986" spans="1:14" s="1240" customFormat="1" ht="14.1" customHeight="1">
      <c r="A986" s="4707"/>
      <c r="B986" s="4710"/>
      <c r="C986" s="4722"/>
      <c r="D986" s="4720"/>
      <c r="E986" s="1249" t="s">
        <v>454</v>
      </c>
      <c r="F986" s="1244">
        <f t="shared" si="49"/>
        <v>638</v>
      </c>
      <c r="G986" s="1244"/>
      <c r="H986" s="1244">
        <v>638</v>
      </c>
      <c r="I986" s="1244"/>
      <c r="J986" s="1243"/>
      <c r="K986" s="1242"/>
      <c r="L986" s="1274"/>
      <c r="M986" s="1254"/>
    </row>
    <row r="987" spans="1:14" s="1240" customFormat="1" ht="15" hidden="1" customHeight="1">
      <c r="A987" s="4707"/>
      <c r="B987" s="4710"/>
      <c r="C987" s="4722"/>
      <c r="D987" s="4720"/>
      <c r="E987" s="1249" t="s">
        <v>453</v>
      </c>
      <c r="F987" s="1244">
        <f t="shared" si="49"/>
        <v>0</v>
      </c>
      <c r="G987" s="1244"/>
      <c r="H987" s="1244"/>
      <c r="I987" s="1244"/>
      <c r="J987" s="1243"/>
      <c r="K987" s="1242"/>
      <c r="L987" s="1274"/>
      <c r="M987" s="1254"/>
    </row>
    <row r="988" spans="1:14" s="1240" customFormat="1" ht="22.5" hidden="1">
      <c r="A988" s="4707"/>
      <c r="B988" s="4710"/>
      <c r="C988" s="4722"/>
      <c r="D988" s="4720"/>
      <c r="E988" s="1248" t="s">
        <v>427</v>
      </c>
      <c r="F988" s="1247">
        <f>SUM(F989:F993)</f>
        <v>0</v>
      </c>
      <c r="G988" s="1247">
        <f>SUM(G989:G993)</f>
        <v>0</v>
      </c>
      <c r="H988" s="1247">
        <f>SUM(H989:H993)</f>
        <v>0</v>
      </c>
      <c r="I988" s="1247">
        <f>SUM(I989:I993)</f>
        <v>0</v>
      </c>
      <c r="J988" s="1246">
        <f>SUM(J989:J993)</f>
        <v>0</v>
      </c>
      <c r="K988" s="1242"/>
      <c r="L988" s="1274"/>
      <c r="M988" s="1254"/>
    </row>
    <row r="989" spans="1:14" s="1240" customFormat="1" ht="15" hidden="1" customHeight="1">
      <c r="A989" s="4707"/>
      <c r="B989" s="4710"/>
      <c r="C989" s="4722"/>
      <c r="D989" s="4720"/>
      <c r="E989" s="1249" t="s">
        <v>450</v>
      </c>
      <c r="F989" s="1244">
        <f>SUM(G989:J989)</f>
        <v>0</v>
      </c>
      <c r="G989" s="1244"/>
      <c r="H989" s="1244"/>
      <c r="I989" s="1244"/>
      <c r="J989" s="1243"/>
      <c r="K989" s="1242"/>
      <c r="L989" s="1275"/>
      <c r="M989" s="1254"/>
    </row>
    <row r="990" spans="1:14" s="1240" customFormat="1" ht="15" hidden="1" customHeight="1">
      <c r="A990" s="4707"/>
      <c r="B990" s="4710"/>
      <c r="C990" s="4722"/>
      <c r="D990" s="4720"/>
      <c r="E990" s="1249" t="s">
        <v>446</v>
      </c>
      <c r="F990" s="1244">
        <f>SUM(G990:J990)</f>
        <v>0</v>
      </c>
      <c r="G990" s="1244"/>
      <c r="H990" s="1244"/>
      <c r="I990" s="1244"/>
      <c r="J990" s="1243"/>
      <c r="K990" s="1242"/>
      <c r="L990" s="1275"/>
      <c r="M990" s="1254"/>
    </row>
    <row r="991" spans="1:14" s="1240" customFormat="1" ht="15" hidden="1" customHeight="1">
      <c r="A991" s="4707"/>
      <c r="B991" s="4710"/>
      <c r="C991" s="4722"/>
      <c r="D991" s="4720"/>
      <c r="E991" s="1249" t="s">
        <v>445</v>
      </c>
      <c r="F991" s="1244">
        <f>SUM(G991:J991)</f>
        <v>0</v>
      </c>
      <c r="G991" s="1244"/>
      <c r="H991" s="1244"/>
      <c r="I991" s="1244"/>
      <c r="J991" s="1243"/>
      <c r="K991" s="1242"/>
      <c r="L991" s="1275"/>
      <c r="M991" s="1254"/>
    </row>
    <row r="992" spans="1:14" s="1240" customFormat="1" ht="15" hidden="1" customHeight="1">
      <c r="A992" s="4707"/>
      <c r="B992" s="4710"/>
      <c r="C992" s="4722"/>
      <c r="D992" s="4720"/>
      <c r="E992" s="1249" t="s">
        <v>444</v>
      </c>
      <c r="F992" s="1244">
        <f>SUM(G992:J992)</f>
        <v>0</v>
      </c>
      <c r="G992" s="1244"/>
      <c r="H992" s="1244"/>
      <c r="I992" s="1244"/>
      <c r="J992" s="1243"/>
      <c r="K992" s="1242"/>
      <c r="L992" s="1274"/>
      <c r="M992" s="1254"/>
    </row>
    <row r="993" spans="1:13" s="1270" customFormat="1" ht="15" hidden="1" customHeight="1">
      <c r="A993" s="4707"/>
      <c r="B993" s="4710"/>
      <c r="C993" s="4722"/>
      <c r="D993" s="4720"/>
      <c r="E993" s="1249" t="s">
        <v>467</v>
      </c>
      <c r="F993" s="1244">
        <f>SUM(G993:J993)</f>
        <v>0</v>
      </c>
      <c r="G993" s="1244"/>
      <c r="H993" s="1244"/>
      <c r="I993" s="1244"/>
      <c r="J993" s="1243"/>
      <c r="K993" s="1225"/>
      <c r="L993" s="1274"/>
      <c r="M993" s="1196"/>
    </row>
    <row r="994" spans="1:13" s="1270" customFormat="1" ht="15" customHeight="1">
      <c r="A994" s="4708"/>
      <c r="B994" s="4711"/>
      <c r="C994" s="4696"/>
      <c r="D994" s="4719"/>
      <c r="E994" s="1239" t="s">
        <v>423</v>
      </c>
      <c r="F994" s="1238">
        <f>SUM(F995:F996)</f>
        <v>0</v>
      </c>
      <c r="G994" s="1238">
        <f>SUM(G995:G996)</f>
        <v>0</v>
      </c>
      <c r="H994" s="1238">
        <f>SUM(H995:H996)</f>
        <v>0</v>
      </c>
      <c r="I994" s="1238">
        <f>SUM(I995:I996)</f>
        <v>0</v>
      </c>
      <c r="J994" s="1237">
        <f>SUM(J995:J996)</f>
        <v>0</v>
      </c>
      <c r="K994" s="1225"/>
      <c r="L994" s="1274"/>
      <c r="M994" s="1196"/>
    </row>
    <row r="995" spans="1:13" s="1270" customFormat="1" ht="15" hidden="1" customHeight="1">
      <c r="A995" s="1235"/>
      <c r="B995" s="1234"/>
      <c r="C995" s="1233"/>
      <c r="D995" s="1232"/>
      <c r="E995" s="1236"/>
      <c r="F995" s="1230">
        <f>SUM(G995:J995)</f>
        <v>0</v>
      </c>
      <c r="G995" s="1230"/>
      <c r="H995" s="1230"/>
      <c r="I995" s="1230"/>
      <c r="J995" s="1229"/>
      <c r="K995" s="1271"/>
      <c r="L995" s="1273"/>
      <c r="M995" s="1196"/>
    </row>
    <row r="996" spans="1:13" s="1195" customFormat="1" ht="15" hidden="1" customHeight="1">
      <c r="A996" s="1235"/>
      <c r="B996" s="1234"/>
      <c r="C996" s="1233"/>
      <c r="D996" s="1232"/>
      <c r="E996" s="1231"/>
      <c r="F996" s="1230">
        <f>SUM(G996:J996)</f>
        <v>0</v>
      </c>
      <c r="G996" s="1230"/>
      <c r="H996" s="1230"/>
      <c r="I996" s="1230"/>
      <c r="J996" s="1229"/>
      <c r="K996" s="1197"/>
      <c r="L996" s="1273"/>
      <c r="M996" s="1196"/>
    </row>
    <row r="997" spans="1:13" s="1240" customFormat="1" ht="22.5">
      <c r="A997" s="4706" t="s">
        <v>465</v>
      </c>
      <c r="B997" s="4709" t="s">
        <v>496</v>
      </c>
      <c r="C997" s="4695">
        <v>852</v>
      </c>
      <c r="D997" s="4718" t="s">
        <v>495</v>
      </c>
      <c r="E997" s="1253" t="s">
        <v>435</v>
      </c>
      <c r="F997" s="1252">
        <f>SUM(F998,F1034)</f>
        <v>3871981</v>
      </c>
      <c r="G997" s="1252">
        <f>SUM(G998,G1034)</f>
        <v>0</v>
      </c>
      <c r="H997" s="1252">
        <f>SUM(H998,H1034)</f>
        <v>3289511</v>
      </c>
      <c r="I997" s="1252">
        <f>SUM(I998,I1034)</f>
        <v>582470</v>
      </c>
      <c r="J997" s="1251">
        <f>SUM(J998,J1034)</f>
        <v>0</v>
      </c>
      <c r="K997" s="1255"/>
      <c r="L997" s="1254"/>
    </row>
    <row r="998" spans="1:13" s="1240" customFormat="1" ht="21">
      <c r="A998" s="4707"/>
      <c r="B998" s="4710"/>
      <c r="C998" s="4722"/>
      <c r="D998" s="4720"/>
      <c r="E998" s="1250" t="s">
        <v>434</v>
      </c>
      <c r="F998" s="1238">
        <f>SUM(F999,F1002,F1015)</f>
        <v>3871981</v>
      </c>
      <c r="G998" s="1238">
        <f>SUM(G999,G1002,G1015)</f>
        <v>0</v>
      </c>
      <c r="H998" s="1238">
        <f>SUM(H999,H1002,H1015)</f>
        <v>3289511</v>
      </c>
      <c r="I998" s="1238">
        <f>SUM(I999,I1002,I1015)</f>
        <v>582470</v>
      </c>
      <c r="J998" s="1237">
        <f>SUM(J999,J1002,J1015)</f>
        <v>0</v>
      </c>
      <c r="K998" s="1255"/>
      <c r="L998" s="1254"/>
    </row>
    <row r="999" spans="1:13" s="1240" customFormat="1" ht="15" customHeight="1">
      <c r="A999" s="4707"/>
      <c r="B999" s="4710"/>
      <c r="C999" s="4722"/>
      <c r="D999" s="4720"/>
      <c r="E999" s="1248" t="s">
        <v>433</v>
      </c>
      <c r="F999" s="1247">
        <f>SUM(F1000:F1001)</f>
        <v>2806518</v>
      </c>
      <c r="G999" s="1247">
        <f>SUM(G1000:G1001)</f>
        <v>0</v>
      </c>
      <c r="H999" s="1247">
        <f>SUM(H1000:H1001)</f>
        <v>2391539</v>
      </c>
      <c r="I999" s="1247">
        <f>SUM(I1000:I1001)</f>
        <v>414979</v>
      </c>
      <c r="J999" s="1246">
        <f>SUM(J1000:J1001)</f>
        <v>0</v>
      </c>
      <c r="K999" s="1255"/>
      <c r="L999" s="1254"/>
    </row>
    <row r="1000" spans="1:13" s="1240" customFormat="1" ht="14.1" customHeight="1">
      <c r="A1000" s="4707"/>
      <c r="B1000" s="4710"/>
      <c r="C1000" s="4722"/>
      <c r="D1000" s="4720"/>
      <c r="E1000" s="1249" t="s">
        <v>183</v>
      </c>
      <c r="F1000" s="1244">
        <f>SUM(G1000:J1000)</f>
        <v>2391539</v>
      </c>
      <c r="G1000" s="1244"/>
      <c r="H1000" s="1244">
        <v>2391539</v>
      </c>
      <c r="I1000" s="1244"/>
      <c r="J1000" s="1243"/>
      <c r="K1000" s="1255"/>
      <c r="L1000" s="1254"/>
    </row>
    <row r="1001" spans="1:13" s="1240" customFormat="1" ht="14.1" customHeight="1">
      <c r="A1001" s="4707"/>
      <c r="B1001" s="4710"/>
      <c r="C1001" s="4722"/>
      <c r="D1001" s="4720"/>
      <c r="E1001" s="1249" t="s">
        <v>185</v>
      </c>
      <c r="F1001" s="1244">
        <f>SUM(G1001:J1001)</f>
        <v>414979</v>
      </c>
      <c r="G1001" s="1244"/>
      <c r="H1001" s="1244"/>
      <c r="I1001" s="1244">
        <v>414979</v>
      </c>
      <c r="J1001" s="1243"/>
      <c r="K1001" s="1255"/>
      <c r="L1001" s="1254"/>
    </row>
    <row r="1002" spans="1:13" s="1240" customFormat="1" ht="22.5">
      <c r="A1002" s="4707"/>
      <c r="B1002" s="4710"/>
      <c r="C1002" s="4722"/>
      <c r="D1002" s="4720"/>
      <c r="E1002" s="1248" t="s">
        <v>432</v>
      </c>
      <c r="F1002" s="1247">
        <f>SUM(F1003:F1014)</f>
        <v>651131</v>
      </c>
      <c r="G1002" s="1247">
        <f>SUM(G1003:G1014)</f>
        <v>0</v>
      </c>
      <c r="H1002" s="1247">
        <f>SUM(H1003:H1014)</f>
        <v>548773</v>
      </c>
      <c r="I1002" s="1247">
        <f>SUM(I1003:I1014)</f>
        <v>102358</v>
      </c>
      <c r="J1002" s="1246">
        <f>SUM(J1003:J1014)</f>
        <v>0</v>
      </c>
      <c r="K1002" s="1255"/>
      <c r="L1002" s="1254"/>
    </row>
    <row r="1003" spans="1:13" s="1240" customFormat="1" ht="14.1" customHeight="1">
      <c r="A1003" s="4707"/>
      <c r="B1003" s="4710"/>
      <c r="C1003" s="4722"/>
      <c r="D1003" s="4720"/>
      <c r="E1003" s="1249" t="s">
        <v>462</v>
      </c>
      <c r="F1003" s="1244">
        <f t="shared" ref="F1003:F1014" si="50">SUM(G1003:J1003)</f>
        <v>308258</v>
      </c>
      <c r="G1003" s="1244"/>
      <c r="H1003" s="1244">
        <v>308258</v>
      </c>
      <c r="I1003" s="1244"/>
      <c r="J1003" s="1243"/>
      <c r="K1003" s="1255"/>
      <c r="L1003" s="1254"/>
    </row>
    <row r="1004" spans="1:13" s="1240" customFormat="1" ht="14.1" customHeight="1">
      <c r="A1004" s="4707"/>
      <c r="B1004" s="4710"/>
      <c r="C1004" s="4722"/>
      <c r="D1004" s="4720"/>
      <c r="E1004" s="1249" t="s">
        <v>461</v>
      </c>
      <c r="F1004" s="1244">
        <f t="shared" si="50"/>
        <v>57497</v>
      </c>
      <c r="G1004" s="1244"/>
      <c r="H1004" s="1244"/>
      <c r="I1004" s="1244">
        <v>57497</v>
      </c>
      <c r="J1004" s="1243"/>
      <c r="K1004" s="1255"/>
      <c r="L1004" s="1254"/>
    </row>
    <row r="1005" spans="1:13" s="1240" customFormat="1" ht="14.1" customHeight="1">
      <c r="A1005" s="4707"/>
      <c r="B1005" s="4710"/>
      <c r="C1005" s="4722"/>
      <c r="D1005" s="4720"/>
      <c r="E1005" s="1249" t="s">
        <v>494</v>
      </c>
      <c r="F1005" s="1244">
        <f t="shared" si="50"/>
        <v>19202</v>
      </c>
      <c r="G1005" s="1244"/>
      <c r="H1005" s="1244">
        <v>19202</v>
      </c>
      <c r="I1005" s="1244"/>
      <c r="J1005" s="1243"/>
      <c r="K1005" s="1255"/>
      <c r="L1005" s="1254"/>
    </row>
    <row r="1006" spans="1:13" s="1240" customFormat="1" ht="14.1" customHeight="1">
      <c r="A1006" s="4707"/>
      <c r="B1006" s="4710"/>
      <c r="C1006" s="4722"/>
      <c r="D1006" s="4720"/>
      <c r="E1006" s="1249" t="s">
        <v>493</v>
      </c>
      <c r="F1006" s="1244">
        <f t="shared" si="50"/>
        <v>3582</v>
      </c>
      <c r="G1006" s="1244"/>
      <c r="H1006" s="1244"/>
      <c r="I1006" s="1244">
        <v>3582</v>
      </c>
      <c r="J1006" s="1243"/>
      <c r="K1006" s="1255"/>
      <c r="L1006" s="1254"/>
    </row>
    <row r="1007" spans="1:13" s="1240" customFormat="1" ht="14.1" customHeight="1">
      <c r="A1007" s="4707"/>
      <c r="B1007" s="4710"/>
      <c r="C1007" s="4722"/>
      <c r="D1007" s="4720"/>
      <c r="E1007" s="1249" t="s">
        <v>460</v>
      </c>
      <c r="F1007" s="1244">
        <f t="shared" si="50"/>
        <v>56553</v>
      </c>
      <c r="G1007" s="1244"/>
      <c r="H1007" s="1244">
        <v>56553</v>
      </c>
      <c r="I1007" s="1244"/>
      <c r="J1007" s="1243"/>
      <c r="K1007" s="1272"/>
      <c r="L1007" s="1254"/>
    </row>
    <row r="1008" spans="1:13" s="1240" customFormat="1" ht="14.1" customHeight="1">
      <c r="A1008" s="4707"/>
      <c r="B1008" s="4710"/>
      <c r="C1008" s="4722"/>
      <c r="D1008" s="4720"/>
      <c r="E1008" s="1249" t="s">
        <v>459</v>
      </c>
      <c r="F1008" s="1244">
        <f t="shared" si="50"/>
        <v>10548</v>
      </c>
      <c r="G1008" s="1244"/>
      <c r="H1008" s="1244"/>
      <c r="I1008" s="1244">
        <v>10548</v>
      </c>
      <c r="J1008" s="1243"/>
      <c r="K1008" s="1255"/>
      <c r="L1008" s="1254"/>
    </row>
    <row r="1009" spans="1:12" s="1240" customFormat="1" ht="14.1" customHeight="1">
      <c r="A1009" s="4707"/>
      <c r="B1009" s="4710"/>
      <c r="C1009" s="4722"/>
      <c r="D1009" s="4720"/>
      <c r="E1009" s="1249" t="s">
        <v>458</v>
      </c>
      <c r="F1009" s="1244">
        <f t="shared" si="50"/>
        <v>8024</v>
      </c>
      <c r="G1009" s="1244"/>
      <c r="H1009" s="1244">
        <v>8024</v>
      </c>
      <c r="I1009" s="1244"/>
      <c r="J1009" s="1243"/>
      <c r="K1009" s="1255"/>
      <c r="L1009" s="1254"/>
    </row>
    <row r="1010" spans="1:12" s="1240" customFormat="1" ht="14.1" customHeight="1">
      <c r="A1010" s="4707"/>
      <c r="B1010" s="4710"/>
      <c r="C1010" s="4722"/>
      <c r="D1010" s="4720"/>
      <c r="E1010" s="1249" t="s">
        <v>457</v>
      </c>
      <c r="F1010" s="1244">
        <f t="shared" si="50"/>
        <v>1497</v>
      </c>
      <c r="G1010" s="1244"/>
      <c r="H1010" s="1244"/>
      <c r="I1010" s="1244">
        <v>1497</v>
      </c>
      <c r="J1010" s="1243"/>
      <c r="K1010" s="1255"/>
      <c r="L1010" s="1254"/>
    </row>
    <row r="1011" spans="1:12" s="1240" customFormat="1" ht="14.1" customHeight="1">
      <c r="A1011" s="4707"/>
      <c r="B1011" s="4710"/>
      <c r="C1011" s="4722"/>
      <c r="D1011" s="4720"/>
      <c r="E1011" s="1249" t="s">
        <v>456</v>
      </c>
      <c r="F1011" s="1244">
        <f t="shared" si="50"/>
        <v>153390</v>
      </c>
      <c r="G1011" s="1244"/>
      <c r="H1011" s="1244">
        <v>153390</v>
      </c>
      <c r="I1011" s="1244"/>
      <c r="J1011" s="1243"/>
      <c r="K1011" s="1255"/>
      <c r="L1011" s="1254"/>
    </row>
    <row r="1012" spans="1:12" s="1240" customFormat="1" ht="14.1" customHeight="1">
      <c r="A1012" s="4707"/>
      <c r="B1012" s="4710"/>
      <c r="C1012" s="4722"/>
      <c r="D1012" s="4720"/>
      <c r="E1012" s="1249" t="s">
        <v>455</v>
      </c>
      <c r="F1012" s="1244">
        <f t="shared" si="50"/>
        <v>28610</v>
      </c>
      <c r="G1012" s="1244"/>
      <c r="H1012" s="1244"/>
      <c r="I1012" s="1244">
        <v>28610</v>
      </c>
      <c r="J1012" s="1243"/>
      <c r="K1012" s="1255"/>
      <c r="L1012" s="1254"/>
    </row>
    <row r="1013" spans="1:12" s="1240" customFormat="1" ht="14.1" customHeight="1">
      <c r="A1013" s="4707"/>
      <c r="B1013" s="4710"/>
      <c r="C1013" s="4722"/>
      <c r="D1013" s="4720"/>
      <c r="E1013" s="1249" t="s">
        <v>454</v>
      </c>
      <c r="F1013" s="1244">
        <f t="shared" si="50"/>
        <v>3346</v>
      </c>
      <c r="G1013" s="1244"/>
      <c r="H1013" s="1244">
        <v>3346</v>
      </c>
      <c r="I1013" s="1244"/>
      <c r="J1013" s="1243"/>
      <c r="K1013" s="1255"/>
      <c r="L1013" s="1254"/>
    </row>
    <row r="1014" spans="1:12" s="1240" customFormat="1" ht="14.1" customHeight="1">
      <c r="A1014" s="4707"/>
      <c r="B1014" s="4710"/>
      <c r="C1014" s="4722"/>
      <c r="D1014" s="4720"/>
      <c r="E1014" s="1249" t="s">
        <v>453</v>
      </c>
      <c r="F1014" s="1244">
        <f t="shared" si="50"/>
        <v>624</v>
      </c>
      <c r="G1014" s="1244"/>
      <c r="H1014" s="1244"/>
      <c r="I1014" s="1244">
        <v>624</v>
      </c>
      <c r="J1014" s="1243"/>
      <c r="K1014" s="1255"/>
      <c r="L1014" s="1254"/>
    </row>
    <row r="1015" spans="1:12" s="1240" customFormat="1" ht="22.5">
      <c r="A1015" s="4707"/>
      <c r="B1015" s="4710"/>
      <c r="C1015" s="4722"/>
      <c r="D1015" s="4720"/>
      <c r="E1015" s="1248" t="s">
        <v>427</v>
      </c>
      <c r="F1015" s="1247">
        <f>SUM(F1016:F1033)</f>
        <v>414332</v>
      </c>
      <c r="G1015" s="1247">
        <f>SUM(G1016:G1033)</f>
        <v>0</v>
      </c>
      <c r="H1015" s="1247">
        <f>SUM(H1016:H1033)</f>
        <v>349199</v>
      </c>
      <c r="I1015" s="1247">
        <f>SUM(I1016:I1033)</f>
        <v>65133</v>
      </c>
      <c r="J1015" s="1246">
        <f>SUM(J1016:J1033)</f>
        <v>0</v>
      </c>
      <c r="K1015" s="1255"/>
      <c r="L1015" s="1254"/>
    </row>
    <row r="1016" spans="1:12" s="1240" customFormat="1" ht="15" hidden="1" customHeight="1">
      <c r="A1016" s="4707"/>
      <c r="B1016" s="4710"/>
      <c r="C1016" s="4722"/>
      <c r="D1016" s="4720"/>
      <c r="E1016" s="1249" t="s">
        <v>450</v>
      </c>
      <c r="F1016" s="1244">
        <f t="shared" ref="F1016:F1033" si="51">SUM(G1016:J1016)</f>
        <v>0</v>
      </c>
      <c r="G1016" s="1244"/>
      <c r="H1016" s="1244"/>
      <c r="I1016" s="1244"/>
      <c r="J1016" s="1243"/>
      <c r="K1016" s="1255"/>
      <c r="L1016" s="1254"/>
    </row>
    <row r="1017" spans="1:12" s="1240" customFormat="1" ht="15" hidden="1" customHeight="1">
      <c r="A1017" s="4707"/>
      <c r="B1017" s="4710"/>
      <c r="C1017" s="4722"/>
      <c r="D1017" s="4720"/>
      <c r="E1017" s="1249" t="s">
        <v>449</v>
      </c>
      <c r="F1017" s="1244">
        <f t="shared" si="51"/>
        <v>0</v>
      </c>
      <c r="G1017" s="1244"/>
      <c r="H1017" s="1244"/>
      <c r="I1017" s="1244"/>
      <c r="J1017" s="1243"/>
      <c r="K1017" s="1255"/>
      <c r="L1017" s="1254"/>
    </row>
    <row r="1018" spans="1:12" s="1240" customFormat="1" ht="14.1" customHeight="1">
      <c r="A1018" s="4707"/>
      <c r="B1018" s="4710"/>
      <c r="C1018" s="4722"/>
      <c r="D1018" s="4720"/>
      <c r="E1018" s="1249" t="s">
        <v>446</v>
      </c>
      <c r="F1018" s="1244">
        <f t="shared" si="51"/>
        <v>336001</v>
      </c>
      <c r="G1018" s="1244"/>
      <c r="H1018" s="1244">
        <v>336001</v>
      </c>
      <c r="I1018" s="1244"/>
      <c r="J1018" s="1243"/>
      <c r="K1018" s="1255"/>
      <c r="L1018" s="1254"/>
    </row>
    <row r="1019" spans="1:12" s="1240" customFormat="1" ht="14.1" customHeight="1">
      <c r="A1019" s="4707"/>
      <c r="B1019" s="4710"/>
      <c r="C1019" s="4722"/>
      <c r="D1019" s="4720"/>
      <c r="E1019" s="1249" t="s">
        <v>445</v>
      </c>
      <c r="F1019" s="1244">
        <f t="shared" si="51"/>
        <v>62671</v>
      </c>
      <c r="G1019" s="1244"/>
      <c r="H1019" s="1244"/>
      <c r="I1019" s="1244">
        <v>62671</v>
      </c>
      <c r="J1019" s="1243"/>
      <c r="K1019" s="1255"/>
      <c r="L1019" s="1254"/>
    </row>
    <row r="1020" spans="1:12" s="1240" customFormat="1" ht="14.1" hidden="1" customHeight="1">
      <c r="A1020" s="4707"/>
      <c r="B1020" s="4710"/>
      <c r="C1020" s="4722"/>
      <c r="D1020" s="4720"/>
      <c r="E1020" s="1249" t="s">
        <v>444</v>
      </c>
      <c r="F1020" s="1244">
        <f t="shared" si="51"/>
        <v>0</v>
      </c>
      <c r="G1020" s="1244"/>
      <c r="H1020" s="1244"/>
      <c r="I1020" s="1244"/>
      <c r="J1020" s="1243"/>
      <c r="K1020" s="1255"/>
      <c r="L1020" s="1254"/>
    </row>
    <row r="1021" spans="1:12" s="1240" customFormat="1" ht="14.1" hidden="1" customHeight="1">
      <c r="A1021" s="4707"/>
      <c r="B1021" s="4710"/>
      <c r="C1021" s="4722"/>
      <c r="D1021" s="4720"/>
      <c r="E1021" s="1249" t="s">
        <v>443</v>
      </c>
      <c r="F1021" s="1244">
        <f t="shared" si="51"/>
        <v>0</v>
      </c>
      <c r="G1021" s="1244"/>
      <c r="H1021" s="1244"/>
      <c r="I1021" s="1244"/>
      <c r="J1021" s="1243"/>
      <c r="K1021" s="1255"/>
      <c r="L1021" s="1254"/>
    </row>
    <row r="1022" spans="1:12" s="1240" customFormat="1" ht="14.1" hidden="1" customHeight="1">
      <c r="A1022" s="4707"/>
      <c r="B1022" s="4710"/>
      <c r="C1022" s="4722"/>
      <c r="D1022" s="4720"/>
      <c r="E1022" s="1249" t="s">
        <v>492</v>
      </c>
      <c r="F1022" s="1244">
        <f t="shared" si="51"/>
        <v>0</v>
      </c>
      <c r="G1022" s="1244"/>
      <c r="H1022" s="1244"/>
      <c r="I1022" s="1244"/>
      <c r="J1022" s="1243"/>
      <c r="K1022" s="1255"/>
      <c r="L1022" s="1254"/>
    </row>
    <row r="1023" spans="1:12" s="1240" customFormat="1" ht="14.1" hidden="1" customHeight="1">
      <c r="A1023" s="4707"/>
      <c r="B1023" s="4710"/>
      <c r="C1023" s="4722"/>
      <c r="D1023" s="4720"/>
      <c r="E1023" s="1249" t="s">
        <v>491</v>
      </c>
      <c r="F1023" s="1244">
        <f t="shared" si="51"/>
        <v>0</v>
      </c>
      <c r="G1023" s="1244"/>
      <c r="H1023" s="1244"/>
      <c r="I1023" s="1244"/>
      <c r="J1023" s="1243"/>
      <c r="K1023" s="1255"/>
      <c r="L1023" s="1254"/>
    </row>
    <row r="1024" spans="1:12" s="1240" customFormat="1" ht="14.1" customHeight="1">
      <c r="A1024" s="4707"/>
      <c r="B1024" s="4710"/>
      <c r="C1024" s="4722"/>
      <c r="D1024" s="4720"/>
      <c r="E1024" s="1249" t="s">
        <v>467</v>
      </c>
      <c r="F1024" s="1244">
        <f t="shared" si="51"/>
        <v>6742</v>
      </c>
      <c r="G1024" s="1244"/>
      <c r="H1024" s="1244">
        <v>6742</v>
      </c>
      <c r="I1024" s="1244"/>
      <c r="J1024" s="1243"/>
      <c r="K1024" s="1255"/>
      <c r="L1024" s="1254"/>
    </row>
    <row r="1025" spans="1:12" s="1240" customFormat="1" ht="14.1" customHeight="1">
      <c r="A1025" s="4707"/>
      <c r="B1025" s="4710"/>
      <c r="C1025" s="4722"/>
      <c r="D1025" s="4720"/>
      <c r="E1025" s="1249" t="s">
        <v>466</v>
      </c>
      <c r="F1025" s="1244">
        <f t="shared" si="51"/>
        <v>1258</v>
      </c>
      <c r="G1025" s="1244"/>
      <c r="H1025" s="1244"/>
      <c r="I1025" s="1244">
        <v>1258</v>
      </c>
      <c r="J1025" s="1243"/>
      <c r="K1025" s="1255"/>
      <c r="L1025" s="1254"/>
    </row>
    <row r="1026" spans="1:12" s="1240" customFormat="1" ht="14.1" customHeight="1">
      <c r="A1026" s="4707"/>
      <c r="B1026" s="4710"/>
      <c r="C1026" s="4722"/>
      <c r="D1026" s="4720"/>
      <c r="E1026" s="1249" t="s">
        <v>490</v>
      </c>
      <c r="F1026" s="1244">
        <f t="shared" si="51"/>
        <v>6456</v>
      </c>
      <c r="G1026" s="1244"/>
      <c r="H1026" s="1244">
        <v>6456</v>
      </c>
      <c r="I1026" s="1244"/>
      <c r="J1026" s="1243"/>
      <c r="K1026" s="1255"/>
      <c r="L1026" s="1254"/>
    </row>
    <row r="1027" spans="1:12" s="1240" customFormat="1" ht="14.1" customHeight="1">
      <c r="A1027" s="4707"/>
      <c r="B1027" s="4710"/>
      <c r="C1027" s="4722"/>
      <c r="D1027" s="4720"/>
      <c r="E1027" s="1249" t="s">
        <v>489</v>
      </c>
      <c r="F1027" s="1244">
        <f t="shared" si="51"/>
        <v>1204</v>
      </c>
      <c r="G1027" s="1244"/>
      <c r="H1027" s="1244"/>
      <c r="I1027" s="1244">
        <v>1204</v>
      </c>
      <c r="J1027" s="1243"/>
      <c r="K1027" s="1255"/>
      <c r="L1027" s="1254"/>
    </row>
    <row r="1028" spans="1:12" s="1240" customFormat="1" ht="15" hidden="1" customHeight="1">
      <c r="A1028" s="4707"/>
      <c r="B1028" s="4710"/>
      <c r="C1028" s="4722"/>
      <c r="D1028" s="4720"/>
      <c r="E1028" s="1249" t="s">
        <v>157</v>
      </c>
      <c r="F1028" s="1244">
        <f t="shared" si="51"/>
        <v>0</v>
      </c>
      <c r="G1028" s="1244"/>
      <c r="H1028" s="1244"/>
      <c r="I1028" s="1244"/>
      <c r="J1028" s="1243"/>
      <c r="K1028" s="1255"/>
      <c r="L1028" s="1254"/>
    </row>
    <row r="1029" spans="1:12" s="1240" customFormat="1" ht="15" hidden="1" customHeight="1">
      <c r="A1029" s="4707"/>
      <c r="B1029" s="4710"/>
      <c r="C1029" s="4722"/>
      <c r="D1029" s="4720"/>
      <c r="E1029" s="1249" t="s">
        <v>300</v>
      </c>
      <c r="F1029" s="1244">
        <f t="shared" si="51"/>
        <v>0</v>
      </c>
      <c r="G1029" s="1244"/>
      <c r="H1029" s="1244"/>
      <c r="I1029" s="1244"/>
      <c r="J1029" s="1243"/>
      <c r="K1029" s="1255"/>
      <c r="L1029" s="1254"/>
    </row>
    <row r="1030" spans="1:12" s="1240" customFormat="1" ht="15" hidden="1" customHeight="1">
      <c r="A1030" s="4707"/>
      <c r="B1030" s="4710"/>
      <c r="C1030" s="4722"/>
      <c r="D1030" s="4720"/>
      <c r="E1030" s="1249" t="s">
        <v>488</v>
      </c>
      <c r="F1030" s="1244">
        <f t="shared" si="51"/>
        <v>0</v>
      </c>
      <c r="G1030" s="1244"/>
      <c r="H1030" s="1244"/>
      <c r="I1030" s="1244"/>
      <c r="J1030" s="1243"/>
      <c r="K1030" s="1255"/>
      <c r="L1030" s="1254"/>
    </row>
    <row r="1031" spans="1:12" s="1240" customFormat="1" ht="15" hidden="1" customHeight="1">
      <c r="A1031" s="4707"/>
      <c r="B1031" s="4710"/>
      <c r="C1031" s="4722"/>
      <c r="D1031" s="4720"/>
      <c r="E1031" s="1249" t="s">
        <v>487</v>
      </c>
      <c r="F1031" s="1244">
        <f t="shared" si="51"/>
        <v>0</v>
      </c>
      <c r="G1031" s="1244"/>
      <c r="H1031" s="1244"/>
      <c r="I1031" s="1244"/>
      <c r="J1031" s="1243"/>
      <c r="K1031" s="1255"/>
      <c r="L1031" s="1254"/>
    </row>
    <row r="1032" spans="1:12" s="1240" customFormat="1" ht="15" hidden="1" customHeight="1">
      <c r="A1032" s="4707"/>
      <c r="B1032" s="4710"/>
      <c r="C1032" s="4722"/>
      <c r="D1032" s="4720"/>
      <c r="E1032" s="1249" t="s">
        <v>486</v>
      </c>
      <c r="F1032" s="1244">
        <f t="shared" si="51"/>
        <v>0</v>
      </c>
      <c r="G1032" s="1244"/>
      <c r="H1032" s="1244"/>
      <c r="I1032" s="1244"/>
      <c r="J1032" s="1243"/>
      <c r="K1032" s="1255"/>
      <c r="L1032" s="1254"/>
    </row>
    <row r="1033" spans="1:12" s="1240" customFormat="1" ht="15" hidden="1" customHeight="1">
      <c r="A1033" s="4707"/>
      <c r="B1033" s="4710"/>
      <c r="C1033" s="4722"/>
      <c r="D1033" s="4720"/>
      <c r="E1033" s="1249" t="s">
        <v>485</v>
      </c>
      <c r="F1033" s="1244">
        <f t="shared" si="51"/>
        <v>0</v>
      </c>
      <c r="G1033" s="1244"/>
      <c r="H1033" s="1244"/>
      <c r="I1033" s="1244"/>
      <c r="J1033" s="1243"/>
      <c r="K1033" s="1255"/>
      <c r="L1033" s="1254"/>
    </row>
    <row r="1034" spans="1:12" s="1270" customFormat="1">
      <c r="A1034" s="4708"/>
      <c r="B1034" s="4711"/>
      <c r="C1034" s="4696"/>
      <c r="D1034" s="4719"/>
      <c r="E1034" s="1239" t="s">
        <v>423</v>
      </c>
      <c r="F1034" s="1238">
        <f>SUM(F1035:F1036)</f>
        <v>0</v>
      </c>
      <c r="G1034" s="1238">
        <f>SUM(G1035:G1036)</f>
        <v>0</v>
      </c>
      <c r="H1034" s="1238">
        <f>SUM(H1035:H1036)</f>
        <v>0</v>
      </c>
      <c r="I1034" s="1238">
        <f>SUM(I1035:I1036)</f>
        <v>0</v>
      </c>
      <c r="J1034" s="1237">
        <f>SUM(J1035:J1036)</f>
        <v>0</v>
      </c>
      <c r="K1034" s="1271"/>
      <c r="L1034" s="1199"/>
    </row>
    <row r="1035" spans="1:12" s="1270" customFormat="1" ht="15" hidden="1" customHeight="1">
      <c r="A1035" s="1235"/>
      <c r="B1035" s="1234"/>
      <c r="C1035" s="1233"/>
      <c r="D1035" s="1232"/>
      <c r="E1035" s="1236"/>
      <c r="F1035" s="1230">
        <f>SUM(G1035:J1035)</f>
        <v>0</v>
      </c>
      <c r="G1035" s="1230"/>
      <c r="H1035" s="1230"/>
      <c r="I1035" s="1230"/>
      <c r="J1035" s="1229"/>
      <c r="K1035" s="1271"/>
      <c r="L1035" s="1199"/>
    </row>
    <row r="1036" spans="1:12" s="1195" customFormat="1" ht="15" hidden="1" customHeight="1">
      <c r="A1036" s="1235"/>
      <c r="B1036" s="1234"/>
      <c r="C1036" s="1233"/>
      <c r="D1036" s="1232"/>
      <c r="E1036" s="1231"/>
      <c r="F1036" s="1230">
        <f>SUM(G1036:J1036)</f>
        <v>0</v>
      </c>
      <c r="G1036" s="1230"/>
      <c r="H1036" s="1230"/>
      <c r="I1036" s="1230"/>
      <c r="J1036" s="1229"/>
      <c r="K1036" s="1197"/>
      <c r="L1036" s="1196"/>
    </row>
    <row r="1037" spans="1:12" s="1240" customFormat="1" ht="22.5" hidden="1">
      <c r="A1037" s="4669"/>
      <c r="B1037" s="4672" t="s">
        <v>484</v>
      </c>
      <c r="C1037" s="4678" t="s">
        <v>483</v>
      </c>
      <c r="D1037" s="4678" t="s">
        <v>482</v>
      </c>
      <c r="E1037" s="1269" t="s">
        <v>435</v>
      </c>
      <c r="F1037" s="1268">
        <f>SUM(F1038,F1055)</f>
        <v>0</v>
      </c>
      <c r="G1037" s="1268">
        <f>SUM(G1038,G1055)</f>
        <v>0</v>
      </c>
      <c r="H1037" s="1268">
        <f>SUM(H1038,H1055)</f>
        <v>0</v>
      </c>
      <c r="I1037" s="1268">
        <f>SUM(I1038,I1055)</f>
        <v>0</v>
      </c>
      <c r="J1037" s="1267">
        <f>SUM(J1038,J1055)</f>
        <v>0</v>
      </c>
      <c r="K1037" s="1255"/>
      <c r="L1037" s="1254"/>
    </row>
    <row r="1038" spans="1:12" s="1240" customFormat="1" ht="21" hidden="1">
      <c r="A1038" s="4670"/>
      <c r="B1038" s="4673"/>
      <c r="C1038" s="4679"/>
      <c r="D1038" s="4679"/>
      <c r="E1038" s="1266" t="s">
        <v>434</v>
      </c>
      <c r="F1038" s="1261">
        <f>SUM(F1039,F1042,F1051)</f>
        <v>0</v>
      </c>
      <c r="G1038" s="1261">
        <f>SUM(G1039,G1042,G1051)</f>
        <v>0</v>
      </c>
      <c r="H1038" s="1261">
        <f>SUM(H1039,H1042,H1051)</f>
        <v>0</v>
      </c>
      <c r="I1038" s="1261">
        <f>SUM(I1039,I1042,I1051)</f>
        <v>0</v>
      </c>
      <c r="J1038" s="1260">
        <f>SUM(J1039,J1042,J1051)</f>
        <v>0</v>
      </c>
      <c r="K1038" s="1255"/>
      <c r="L1038" s="1254"/>
    </row>
    <row r="1039" spans="1:12" s="1240" customFormat="1" ht="22.5" hidden="1">
      <c r="A1039" s="4670"/>
      <c r="B1039" s="4673"/>
      <c r="C1039" s="4679"/>
      <c r="D1039" s="4679"/>
      <c r="E1039" s="1265" t="s">
        <v>481</v>
      </c>
      <c r="F1039" s="1264">
        <f>SUM(F1040:F1041)</f>
        <v>0</v>
      </c>
      <c r="G1039" s="1264">
        <f>SUM(G1040:G1041)</f>
        <v>0</v>
      </c>
      <c r="H1039" s="1264">
        <f>SUM(H1040:H1041)</f>
        <v>0</v>
      </c>
      <c r="I1039" s="1264">
        <f>SUM(I1040:I1041)</f>
        <v>0</v>
      </c>
      <c r="J1039" s="1263">
        <f>SUM(J1040:J1041)</f>
        <v>0</v>
      </c>
      <c r="K1039" s="1255"/>
      <c r="L1039" s="1254"/>
    </row>
    <row r="1040" spans="1:12" s="1240" customFormat="1" ht="15" hidden="1" customHeight="1">
      <c r="A1040" s="4670"/>
      <c r="B1040" s="4673"/>
      <c r="C1040" s="4679"/>
      <c r="D1040" s="4679"/>
      <c r="E1040" s="1236" t="s">
        <v>480</v>
      </c>
      <c r="F1040" s="1230">
        <f>SUM(G1040:J1040)</f>
        <v>0</v>
      </c>
      <c r="G1040" s="1230"/>
      <c r="H1040" s="1230"/>
      <c r="I1040" s="1230"/>
      <c r="J1040" s="1229"/>
      <c r="K1040" s="1255"/>
      <c r="L1040" s="1254"/>
    </row>
    <row r="1041" spans="1:12" s="1240" customFormat="1" ht="15" hidden="1" customHeight="1">
      <c r="A1041" s="4670"/>
      <c r="B1041" s="4673"/>
      <c r="C1041" s="4679"/>
      <c r="D1041" s="4679"/>
      <c r="E1041" s="1236" t="s">
        <v>359</v>
      </c>
      <c r="F1041" s="1230">
        <f>SUM(G1041:J1041)</f>
        <v>0</v>
      </c>
      <c r="G1041" s="1230"/>
      <c r="H1041" s="1230"/>
      <c r="I1041" s="1230"/>
      <c r="J1041" s="1229"/>
      <c r="K1041" s="1255"/>
      <c r="L1041" s="1254"/>
    </row>
    <row r="1042" spans="1:12" s="1240" customFormat="1" ht="22.5" hidden="1">
      <c r="A1042" s="4670"/>
      <c r="B1042" s="4673"/>
      <c r="C1042" s="4679"/>
      <c r="D1042" s="4679"/>
      <c r="E1042" s="1265" t="s">
        <v>432</v>
      </c>
      <c r="F1042" s="1264">
        <f>SUM(F1043:F1050)</f>
        <v>0</v>
      </c>
      <c r="G1042" s="1264">
        <f>SUM(G1043:G1050)</f>
        <v>0</v>
      </c>
      <c r="H1042" s="1264">
        <f>SUM(H1043:H1050)</f>
        <v>0</v>
      </c>
      <c r="I1042" s="1264">
        <f>SUM(I1043:I1050)</f>
        <v>0</v>
      </c>
      <c r="J1042" s="1263">
        <f>SUM(J1043:J1050)</f>
        <v>0</v>
      </c>
      <c r="K1042" s="1255"/>
      <c r="L1042" s="1254"/>
    </row>
    <row r="1043" spans="1:12" s="1240" customFormat="1" ht="15" hidden="1" customHeight="1">
      <c r="A1043" s="4670"/>
      <c r="B1043" s="4673"/>
      <c r="C1043" s="4679"/>
      <c r="D1043" s="4679"/>
      <c r="E1043" s="1236" t="s">
        <v>479</v>
      </c>
      <c r="F1043" s="1230">
        <f t="shared" ref="F1043:F1050" si="52">SUM(G1043:J1043)</f>
        <v>0</v>
      </c>
      <c r="G1043" s="1230"/>
      <c r="H1043" s="1230"/>
      <c r="I1043" s="1230"/>
      <c r="J1043" s="1229"/>
      <c r="K1043" s="1255"/>
      <c r="L1043" s="1254"/>
    </row>
    <row r="1044" spans="1:12" s="1240" customFormat="1" ht="15" hidden="1" customHeight="1">
      <c r="A1044" s="4670"/>
      <c r="B1044" s="4673"/>
      <c r="C1044" s="4679"/>
      <c r="D1044" s="4679"/>
      <c r="E1044" s="1236" t="s">
        <v>461</v>
      </c>
      <c r="F1044" s="1230">
        <f t="shared" si="52"/>
        <v>0</v>
      </c>
      <c r="G1044" s="1230"/>
      <c r="H1044" s="1230"/>
      <c r="I1044" s="1230"/>
      <c r="J1044" s="1229"/>
      <c r="K1044" s="1255"/>
      <c r="L1044" s="1254"/>
    </row>
    <row r="1045" spans="1:12" s="1240" customFormat="1" ht="15" hidden="1" customHeight="1">
      <c r="A1045" s="4670"/>
      <c r="B1045" s="4673"/>
      <c r="C1045" s="4679"/>
      <c r="D1045" s="4679"/>
      <c r="E1045" s="1236" t="s">
        <v>478</v>
      </c>
      <c r="F1045" s="1230">
        <f t="shared" si="52"/>
        <v>0</v>
      </c>
      <c r="G1045" s="1230"/>
      <c r="H1045" s="1230"/>
      <c r="I1045" s="1230"/>
      <c r="J1045" s="1229"/>
      <c r="K1045" s="1255"/>
      <c r="L1045" s="1254"/>
    </row>
    <row r="1046" spans="1:12" s="1240" customFormat="1" ht="15" hidden="1" customHeight="1">
      <c r="A1046" s="4670"/>
      <c r="B1046" s="4673"/>
      <c r="C1046" s="4679"/>
      <c r="D1046" s="4679"/>
      <c r="E1046" s="1236" t="s">
        <v>459</v>
      </c>
      <c r="F1046" s="1230">
        <f t="shared" si="52"/>
        <v>0</v>
      </c>
      <c r="G1046" s="1230"/>
      <c r="H1046" s="1230"/>
      <c r="I1046" s="1230"/>
      <c r="J1046" s="1229"/>
      <c r="K1046" s="1255"/>
      <c r="L1046" s="1254"/>
    </row>
    <row r="1047" spans="1:12" s="1240" customFormat="1" ht="15" hidden="1" customHeight="1">
      <c r="A1047" s="4670"/>
      <c r="B1047" s="4673"/>
      <c r="C1047" s="4679"/>
      <c r="D1047" s="4679"/>
      <c r="E1047" s="1236" t="s">
        <v>477</v>
      </c>
      <c r="F1047" s="1230">
        <f t="shared" si="52"/>
        <v>0</v>
      </c>
      <c r="G1047" s="1230"/>
      <c r="H1047" s="1230"/>
      <c r="I1047" s="1230"/>
      <c r="J1047" s="1229"/>
      <c r="K1047" s="1255"/>
      <c r="L1047" s="1254"/>
    </row>
    <row r="1048" spans="1:12" s="1240" customFormat="1" ht="15" hidden="1" customHeight="1">
      <c r="A1048" s="4670"/>
      <c r="B1048" s="4673"/>
      <c r="C1048" s="4679"/>
      <c r="D1048" s="4679"/>
      <c r="E1048" s="1236" t="s">
        <v>457</v>
      </c>
      <c r="F1048" s="1230">
        <f t="shared" si="52"/>
        <v>0</v>
      </c>
      <c r="G1048" s="1230"/>
      <c r="H1048" s="1230"/>
      <c r="I1048" s="1230"/>
      <c r="J1048" s="1229"/>
      <c r="K1048" s="1255"/>
      <c r="L1048" s="1254"/>
    </row>
    <row r="1049" spans="1:12" s="1240" customFormat="1" ht="15" hidden="1" customHeight="1">
      <c r="A1049" s="4670"/>
      <c r="B1049" s="4673"/>
      <c r="C1049" s="4679"/>
      <c r="D1049" s="4679"/>
      <c r="E1049" s="1236" t="s">
        <v>476</v>
      </c>
      <c r="F1049" s="1230">
        <f t="shared" si="52"/>
        <v>0</v>
      </c>
      <c r="G1049" s="1230"/>
      <c r="H1049" s="1230"/>
      <c r="I1049" s="1230"/>
      <c r="J1049" s="1229"/>
      <c r="K1049" s="1255"/>
      <c r="L1049" s="1254"/>
    </row>
    <row r="1050" spans="1:12" s="1240" customFormat="1" ht="15" hidden="1" customHeight="1">
      <c r="A1050" s="4670"/>
      <c r="B1050" s="4673"/>
      <c r="C1050" s="4679"/>
      <c r="D1050" s="4679"/>
      <c r="E1050" s="1236" t="s">
        <v>453</v>
      </c>
      <c r="F1050" s="1230">
        <f t="shared" si="52"/>
        <v>0</v>
      </c>
      <c r="G1050" s="1230"/>
      <c r="H1050" s="1230"/>
      <c r="I1050" s="1230"/>
      <c r="J1050" s="1229"/>
      <c r="K1050" s="1255"/>
      <c r="L1050" s="1254"/>
    </row>
    <row r="1051" spans="1:12" s="1240" customFormat="1" ht="22.5" hidden="1">
      <c r="A1051" s="4670"/>
      <c r="B1051" s="4673"/>
      <c r="C1051" s="4679"/>
      <c r="D1051" s="4679"/>
      <c r="E1051" s="1265" t="s">
        <v>427</v>
      </c>
      <c r="F1051" s="1264">
        <f>SUM(F1052:F1054)</f>
        <v>0</v>
      </c>
      <c r="G1051" s="1264">
        <f>SUM(G1052:G1054)</f>
        <v>0</v>
      </c>
      <c r="H1051" s="1264">
        <f>SUM(H1052:H1054)</f>
        <v>0</v>
      </c>
      <c r="I1051" s="1264">
        <f>SUM(I1052:I1054)</f>
        <v>0</v>
      </c>
      <c r="J1051" s="1263">
        <f>SUM(J1052:J1054)</f>
        <v>0</v>
      </c>
      <c r="K1051" s="1255"/>
      <c r="L1051" s="1254"/>
    </row>
    <row r="1052" spans="1:12" s="1240" customFormat="1" ht="15" hidden="1" customHeight="1">
      <c r="A1052" s="4670"/>
      <c r="B1052" s="4673"/>
      <c r="C1052" s="4679"/>
      <c r="D1052" s="4679"/>
      <c r="E1052" s="1236"/>
      <c r="F1052" s="1230">
        <f>SUM(G1052:J1052)</f>
        <v>0</v>
      </c>
      <c r="G1052" s="1230"/>
      <c r="H1052" s="1230"/>
      <c r="I1052" s="1230"/>
      <c r="J1052" s="1229"/>
      <c r="K1052" s="1255"/>
      <c r="L1052" s="1254"/>
    </row>
    <row r="1053" spans="1:12" s="1240" customFormat="1" ht="15" hidden="1" customHeight="1">
      <c r="A1053" s="4670"/>
      <c r="B1053" s="4673"/>
      <c r="C1053" s="4679"/>
      <c r="D1053" s="4679"/>
      <c r="E1053" s="1236"/>
      <c r="F1053" s="1230">
        <f>SUM(G1053:J1053)</f>
        <v>0</v>
      </c>
      <c r="G1053" s="1230"/>
      <c r="H1053" s="1230"/>
      <c r="I1053" s="1230"/>
      <c r="J1053" s="1229"/>
      <c r="K1053" s="1255"/>
      <c r="L1053" s="1254"/>
    </row>
    <row r="1054" spans="1:12" s="1240" customFormat="1" ht="15" hidden="1" customHeight="1">
      <c r="A1054" s="4670"/>
      <c r="B1054" s="4673"/>
      <c r="C1054" s="4679"/>
      <c r="D1054" s="4679"/>
      <c r="E1054" s="1236"/>
      <c r="F1054" s="1230">
        <f>SUM(G1054:J1054)</f>
        <v>0</v>
      </c>
      <c r="G1054" s="1230"/>
      <c r="H1054" s="1230"/>
      <c r="I1054" s="1230"/>
      <c r="J1054" s="1229"/>
      <c r="K1054" s="1255"/>
      <c r="L1054" s="1254"/>
    </row>
    <row r="1055" spans="1:12" s="1240" customFormat="1" ht="15" hidden="1" customHeight="1">
      <c r="A1055" s="4671"/>
      <c r="B1055" s="4674"/>
      <c r="C1055" s="4680"/>
      <c r="D1055" s="4680"/>
      <c r="E1055" s="1262" t="s">
        <v>423</v>
      </c>
      <c r="F1055" s="1261">
        <f>SUM(F1056:F1057)</f>
        <v>0</v>
      </c>
      <c r="G1055" s="1261">
        <f>SUM(G1056:G1057)</f>
        <v>0</v>
      </c>
      <c r="H1055" s="1261">
        <f>SUM(H1056:H1057)</f>
        <v>0</v>
      </c>
      <c r="I1055" s="1261">
        <f>SUM(I1056:I1057)</f>
        <v>0</v>
      </c>
      <c r="J1055" s="1260">
        <f>SUM(J1056:J1057)</f>
        <v>0</v>
      </c>
      <c r="K1055" s="1255"/>
      <c r="L1055" s="1254"/>
    </row>
    <row r="1056" spans="1:12" s="1240" customFormat="1" ht="15" hidden="1" customHeight="1">
      <c r="A1056" s="1235"/>
      <c r="B1056" s="1234"/>
      <c r="C1056" s="1232"/>
      <c r="D1056" s="1232"/>
      <c r="E1056" s="1236"/>
      <c r="F1056" s="1230">
        <f>SUM(G1056:J1056)</f>
        <v>0</v>
      </c>
      <c r="G1056" s="1230"/>
      <c r="H1056" s="1230"/>
      <c r="I1056" s="1230"/>
      <c r="J1056" s="1229"/>
      <c r="K1056" s="1255"/>
      <c r="L1056" s="1254"/>
    </row>
    <row r="1057" spans="1:12" s="1240" customFormat="1" ht="15" hidden="1" customHeight="1">
      <c r="A1057" s="1235"/>
      <c r="B1057" s="1234"/>
      <c r="C1057" s="1232"/>
      <c r="D1057" s="1232"/>
      <c r="E1057" s="1231"/>
      <c r="F1057" s="1230">
        <f>SUM(G1057:J1057)</f>
        <v>0</v>
      </c>
      <c r="G1057" s="1230"/>
      <c r="H1057" s="1230"/>
      <c r="I1057" s="1230"/>
      <c r="J1057" s="1229"/>
      <c r="K1057" s="1255"/>
      <c r="L1057" s="1254"/>
    </row>
    <row r="1058" spans="1:12" s="1194" customFormat="1" ht="30" customHeight="1">
      <c r="A1058" s="1259" t="s">
        <v>475</v>
      </c>
      <c r="B1058" s="4688" t="s">
        <v>474</v>
      </c>
      <c r="C1058" s="4688"/>
      <c r="D1058" s="4688"/>
      <c r="E1058" s="4688"/>
      <c r="F1058" s="1258">
        <f>F1060+F1092+F1122+F1142</f>
        <v>1074355</v>
      </c>
      <c r="G1058" s="1258">
        <f>G1060+G1092+G1122+G1142</f>
        <v>0</v>
      </c>
      <c r="H1058" s="1258">
        <f>H1060+H1092+H1122+H1142</f>
        <v>1051969</v>
      </c>
      <c r="I1058" s="1258">
        <f>I1060+I1092+I1122+I1142</f>
        <v>22386</v>
      </c>
      <c r="J1058" s="1257">
        <f>J1060+J1092+J1122+J1142</f>
        <v>0</v>
      </c>
      <c r="K1058" s="1223"/>
      <c r="L1058" s="1214"/>
    </row>
    <row r="1059" spans="1:12" s="1195" customFormat="1" ht="15" customHeight="1">
      <c r="A1059" s="4689"/>
      <c r="B1059" s="4690"/>
      <c r="C1059" s="4690"/>
      <c r="D1059" s="4690"/>
      <c r="E1059" s="4690"/>
      <c r="F1059" s="4690"/>
      <c r="G1059" s="4690"/>
      <c r="H1059" s="4690"/>
      <c r="I1059" s="4690"/>
      <c r="J1059" s="4691"/>
      <c r="K1059" s="1197"/>
      <c r="L1059" s="1196"/>
    </row>
    <row r="1060" spans="1:12" ht="22.5">
      <c r="A1060" s="4692" t="s">
        <v>473</v>
      </c>
      <c r="B1060" s="4693" t="s">
        <v>472</v>
      </c>
      <c r="C1060" s="4694">
        <v>801</v>
      </c>
      <c r="D1060" s="4705" t="s">
        <v>463</v>
      </c>
      <c r="E1060" s="1253" t="s">
        <v>435</v>
      </c>
      <c r="F1060" s="1252">
        <f>SUM(F1061,F1089)</f>
        <v>22224</v>
      </c>
      <c r="G1060" s="1252">
        <f>SUM(G1061,G1089)</f>
        <v>0</v>
      </c>
      <c r="H1060" s="1252">
        <f>SUM(H1061,H1089)</f>
        <v>18808</v>
      </c>
      <c r="I1060" s="1252">
        <f>SUM(I1061,I1089)</f>
        <v>3416</v>
      </c>
      <c r="J1060" s="1251">
        <f>SUM(J1061,J1089)</f>
        <v>0</v>
      </c>
    </row>
    <row r="1061" spans="1:12" ht="21">
      <c r="A1061" s="4692"/>
      <c r="B1061" s="4693"/>
      <c r="C1061" s="4694"/>
      <c r="D1061" s="4705"/>
      <c r="E1061" s="1250" t="s">
        <v>434</v>
      </c>
      <c r="F1061" s="1238">
        <f>SUM(F1062,F1065,F1078)</f>
        <v>22224</v>
      </c>
      <c r="G1061" s="1238">
        <f>SUM(G1062,G1065,G1078)</f>
        <v>0</v>
      </c>
      <c r="H1061" s="1238">
        <f>SUM(H1062,H1065,H1078)</f>
        <v>18808</v>
      </c>
      <c r="I1061" s="1238">
        <f>SUM(I1062,I1065,I1078)</f>
        <v>3416</v>
      </c>
      <c r="J1061" s="1237">
        <f>SUM(J1062,J1065,J1078)</f>
        <v>0</v>
      </c>
    </row>
    <row r="1062" spans="1:12" ht="15" hidden="1" customHeight="1">
      <c r="A1062" s="4692"/>
      <c r="B1062" s="4693"/>
      <c r="C1062" s="4694"/>
      <c r="D1062" s="4705"/>
      <c r="E1062" s="1248" t="s">
        <v>433</v>
      </c>
      <c r="F1062" s="1247">
        <f>SUM(F1063:F1064)</f>
        <v>0</v>
      </c>
      <c r="G1062" s="1247">
        <f>SUM(G1063:G1064)</f>
        <v>0</v>
      </c>
      <c r="H1062" s="1247">
        <f>SUM(H1063:H1064)</f>
        <v>0</v>
      </c>
      <c r="I1062" s="1247">
        <f>SUM(I1063:I1064)</f>
        <v>0</v>
      </c>
      <c r="J1062" s="1246">
        <f>SUM(J1063:J1064)</f>
        <v>0</v>
      </c>
    </row>
    <row r="1063" spans="1:12" ht="15" hidden="1" customHeight="1">
      <c r="A1063" s="4692"/>
      <c r="B1063" s="4693"/>
      <c r="C1063" s="4694"/>
      <c r="D1063" s="4705"/>
      <c r="E1063" s="1245" t="s">
        <v>183</v>
      </c>
      <c r="F1063" s="1244">
        <f>SUM(G1063:J1063)</f>
        <v>0</v>
      </c>
      <c r="G1063" s="1244"/>
      <c r="H1063" s="1244"/>
      <c r="I1063" s="1244"/>
      <c r="J1063" s="1243"/>
    </row>
    <row r="1064" spans="1:12" ht="15" hidden="1" customHeight="1">
      <c r="A1064" s="4692"/>
      <c r="B1064" s="4693"/>
      <c r="C1064" s="4694"/>
      <c r="D1064" s="4705"/>
      <c r="E1064" s="1245" t="s">
        <v>185</v>
      </c>
      <c r="F1064" s="1244">
        <f>SUM(G1064:J1064)</f>
        <v>0</v>
      </c>
      <c r="G1064" s="1244"/>
      <c r="H1064" s="1244"/>
      <c r="I1064" s="1244"/>
      <c r="J1064" s="1243"/>
    </row>
    <row r="1065" spans="1:12" ht="22.5">
      <c r="A1065" s="4692"/>
      <c r="B1065" s="4693"/>
      <c r="C1065" s="4694"/>
      <c r="D1065" s="4705"/>
      <c r="E1065" s="1248" t="s">
        <v>432</v>
      </c>
      <c r="F1065" s="1247">
        <f>SUM(F1066:F1077)</f>
        <v>9522</v>
      </c>
      <c r="G1065" s="1247">
        <f>SUM(G1066:G1077)</f>
        <v>0</v>
      </c>
      <c r="H1065" s="1247">
        <f>SUM(H1066:H1077)</f>
        <v>8058</v>
      </c>
      <c r="I1065" s="1247">
        <f>SUM(I1066:I1077)</f>
        <v>1464</v>
      </c>
      <c r="J1065" s="1246">
        <f>SUM(J1066:J1077)</f>
        <v>0</v>
      </c>
    </row>
    <row r="1066" spans="1:12" ht="15" customHeight="1">
      <c r="A1066" s="4692"/>
      <c r="B1066" s="4693"/>
      <c r="C1066" s="4694"/>
      <c r="D1066" s="4705"/>
      <c r="E1066" s="1249" t="s">
        <v>462</v>
      </c>
      <c r="F1066" s="1244">
        <f t="shared" ref="F1066:F1077" si="53">SUM(G1066:J1066)</f>
        <v>6736</v>
      </c>
      <c r="G1066" s="1244"/>
      <c r="H1066" s="1244">
        <v>6736</v>
      </c>
      <c r="I1066" s="1244"/>
      <c r="J1066" s="1243"/>
    </row>
    <row r="1067" spans="1:12" ht="15" customHeight="1">
      <c r="A1067" s="4692"/>
      <c r="B1067" s="4693"/>
      <c r="C1067" s="4694"/>
      <c r="D1067" s="4705"/>
      <c r="E1067" s="1249" t="s">
        <v>461</v>
      </c>
      <c r="F1067" s="1244">
        <f t="shared" si="53"/>
        <v>1223</v>
      </c>
      <c r="G1067" s="1244"/>
      <c r="H1067" s="1244"/>
      <c r="I1067" s="1244">
        <v>1223</v>
      </c>
      <c r="J1067" s="1243"/>
    </row>
    <row r="1068" spans="1:12" ht="15" customHeight="1">
      <c r="A1068" s="4692"/>
      <c r="B1068" s="4693"/>
      <c r="C1068" s="4694"/>
      <c r="D1068" s="4705"/>
      <c r="E1068" s="1249" t="s">
        <v>460</v>
      </c>
      <c r="F1068" s="1244">
        <f t="shared" si="53"/>
        <v>1157</v>
      </c>
      <c r="G1068" s="1244"/>
      <c r="H1068" s="1244">
        <v>1157</v>
      </c>
      <c r="I1068" s="1244"/>
      <c r="J1068" s="1243"/>
    </row>
    <row r="1069" spans="1:12" ht="15" customHeight="1">
      <c r="A1069" s="4692"/>
      <c r="B1069" s="4693"/>
      <c r="C1069" s="4694"/>
      <c r="D1069" s="4705"/>
      <c r="E1069" s="1249" t="s">
        <v>459</v>
      </c>
      <c r="F1069" s="1244">
        <f t="shared" si="53"/>
        <v>211</v>
      </c>
      <c r="G1069" s="1244"/>
      <c r="H1069" s="1244"/>
      <c r="I1069" s="1244">
        <v>211</v>
      </c>
      <c r="J1069" s="1243"/>
    </row>
    <row r="1070" spans="1:12" ht="15" customHeight="1">
      <c r="A1070" s="4692"/>
      <c r="B1070" s="4693"/>
      <c r="C1070" s="4694"/>
      <c r="D1070" s="4705"/>
      <c r="E1070" s="1249" t="s">
        <v>458</v>
      </c>
      <c r="F1070" s="1244">
        <f t="shared" si="53"/>
        <v>165</v>
      </c>
      <c r="G1070" s="1244"/>
      <c r="H1070" s="1244">
        <v>165</v>
      </c>
      <c r="I1070" s="1244"/>
      <c r="J1070" s="1243"/>
    </row>
    <row r="1071" spans="1:12" ht="15" customHeight="1">
      <c r="A1071" s="4692"/>
      <c r="B1071" s="4693"/>
      <c r="C1071" s="4694"/>
      <c r="D1071" s="4705"/>
      <c r="E1071" s="1249" t="s">
        <v>457</v>
      </c>
      <c r="F1071" s="1244">
        <f t="shared" si="53"/>
        <v>30</v>
      </c>
      <c r="G1071" s="1244"/>
      <c r="H1071" s="1244"/>
      <c r="I1071" s="1244">
        <v>30</v>
      </c>
      <c r="J1071" s="1243"/>
    </row>
    <row r="1072" spans="1:12" ht="15" hidden="1" customHeight="1">
      <c r="A1072" s="4692"/>
      <c r="B1072" s="4693"/>
      <c r="C1072" s="4694"/>
      <c r="D1072" s="4705"/>
      <c r="E1072" s="1249" t="s">
        <v>456</v>
      </c>
      <c r="F1072" s="1244">
        <f t="shared" si="53"/>
        <v>0</v>
      </c>
      <c r="G1072" s="1244"/>
      <c r="H1072" s="1244"/>
      <c r="I1072" s="1244"/>
      <c r="J1072" s="1243"/>
    </row>
    <row r="1073" spans="1:17" ht="15" hidden="1" customHeight="1">
      <c r="A1073" s="4692"/>
      <c r="B1073" s="4693"/>
      <c r="C1073" s="4694"/>
      <c r="D1073" s="4705"/>
      <c r="E1073" s="1249" t="s">
        <v>455</v>
      </c>
      <c r="F1073" s="1244">
        <f t="shared" si="53"/>
        <v>0</v>
      </c>
      <c r="G1073" s="1244"/>
      <c r="H1073" s="1244"/>
      <c r="I1073" s="1244"/>
      <c r="J1073" s="1243"/>
    </row>
    <row r="1074" spans="1:17" ht="15" hidden="1" customHeight="1">
      <c r="A1074" s="4692"/>
      <c r="B1074" s="4693"/>
      <c r="C1074" s="4694"/>
      <c r="D1074" s="4705"/>
      <c r="E1074" s="1249" t="s">
        <v>452</v>
      </c>
      <c r="F1074" s="1244">
        <f t="shared" si="53"/>
        <v>0</v>
      </c>
      <c r="G1074" s="1244"/>
      <c r="H1074" s="1244"/>
      <c r="I1074" s="1244"/>
      <c r="J1074" s="1243"/>
    </row>
    <row r="1075" spans="1:17" ht="15" hidden="1" customHeight="1">
      <c r="A1075" s="4692"/>
      <c r="B1075" s="4693"/>
      <c r="C1075" s="4694"/>
      <c r="D1075" s="4705"/>
      <c r="E1075" s="1249" t="s">
        <v>451</v>
      </c>
      <c r="F1075" s="1244">
        <f t="shared" si="53"/>
        <v>0</v>
      </c>
      <c r="G1075" s="1244"/>
      <c r="H1075" s="1244"/>
      <c r="I1075" s="1244"/>
      <c r="J1075" s="1243"/>
    </row>
    <row r="1076" spans="1:17" ht="15" hidden="1" customHeight="1">
      <c r="A1076" s="4692"/>
      <c r="B1076" s="4693"/>
      <c r="C1076" s="4694"/>
      <c r="D1076" s="4705"/>
      <c r="E1076" s="1249" t="s">
        <v>454</v>
      </c>
      <c r="F1076" s="1244">
        <f t="shared" si="53"/>
        <v>0</v>
      </c>
      <c r="G1076" s="1244"/>
      <c r="H1076" s="1244"/>
      <c r="I1076" s="1244"/>
      <c r="J1076" s="1243"/>
    </row>
    <row r="1077" spans="1:17" ht="15" hidden="1" customHeight="1">
      <c r="A1077" s="4692"/>
      <c r="B1077" s="4693"/>
      <c r="C1077" s="4694"/>
      <c r="D1077" s="4705"/>
      <c r="E1077" s="1249" t="s">
        <v>453</v>
      </c>
      <c r="F1077" s="1244">
        <f t="shared" si="53"/>
        <v>0</v>
      </c>
      <c r="G1077" s="1244"/>
      <c r="H1077" s="1244"/>
      <c r="I1077" s="1244"/>
      <c r="J1077" s="1243"/>
    </row>
    <row r="1078" spans="1:17" ht="22.5">
      <c r="A1078" s="4692"/>
      <c r="B1078" s="4693"/>
      <c r="C1078" s="4694"/>
      <c r="D1078" s="4705"/>
      <c r="E1078" s="1248" t="s">
        <v>427</v>
      </c>
      <c r="F1078" s="1247">
        <f>SUM(F1079:F1088)</f>
        <v>12702</v>
      </c>
      <c r="G1078" s="1247">
        <f>SUM(G1079:G1088)</f>
        <v>0</v>
      </c>
      <c r="H1078" s="1247">
        <f>SUM(H1079:H1088)</f>
        <v>10750</v>
      </c>
      <c r="I1078" s="1247">
        <f>SUM(I1079:I1088)</f>
        <v>1952</v>
      </c>
      <c r="J1078" s="1246">
        <f>SUM(J1079:J1088)</f>
        <v>0</v>
      </c>
    </row>
    <row r="1079" spans="1:17" s="1256" customFormat="1" ht="15" customHeight="1">
      <c r="A1079" s="4692"/>
      <c r="B1079" s="4693"/>
      <c r="C1079" s="4694"/>
      <c r="D1079" s="4705"/>
      <c r="E1079" s="1245" t="s">
        <v>450</v>
      </c>
      <c r="F1079" s="1244">
        <f t="shared" ref="F1079:F1088" si="54">SUM(G1079:J1079)</f>
        <v>1356</v>
      </c>
      <c r="G1079" s="1244"/>
      <c r="H1079" s="1244">
        <v>1356</v>
      </c>
      <c r="I1079" s="1244"/>
      <c r="J1079" s="1243"/>
      <c r="K1079" s="1255"/>
      <c r="L1079" s="1254"/>
      <c r="M1079" s="1240"/>
      <c r="N1079" s="1240"/>
      <c r="O1079" s="1240"/>
      <c r="P1079" s="1240"/>
      <c r="Q1079" s="1240"/>
    </row>
    <row r="1080" spans="1:17" s="1256" customFormat="1" ht="15" customHeight="1">
      <c r="A1080" s="4692"/>
      <c r="B1080" s="4693"/>
      <c r="C1080" s="4694"/>
      <c r="D1080" s="4705"/>
      <c r="E1080" s="1245" t="s">
        <v>449</v>
      </c>
      <c r="F1080" s="1244">
        <f t="shared" si="54"/>
        <v>246</v>
      </c>
      <c r="G1080" s="1244"/>
      <c r="H1080" s="1244"/>
      <c r="I1080" s="1244">
        <v>246</v>
      </c>
      <c r="J1080" s="1243"/>
      <c r="K1080" s="1255"/>
      <c r="L1080" s="1254"/>
      <c r="M1080" s="1240"/>
      <c r="N1080" s="1240"/>
      <c r="O1080" s="1240"/>
      <c r="P1080" s="1240"/>
      <c r="Q1080" s="1240"/>
    </row>
    <row r="1081" spans="1:17" s="1256" customFormat="1" ht="15" customHeight="1">
      <c r="A1081" s="4692"/>
      <c r="B1081" s="4693"/>
      <c r="C1081" s="4694"/>
      <c r="D1081" s="4705"/>
      <c r="E1081" s="1245" t="s">
        <v>471</v>
      </c>
      <c r="F1081" s="1244">
        <f t="shared" si="54"/>
        <v>9394</v>
      </c>
      <c r="G1081" s="1244"/>
      <c r="H1081" s="1244">
        <v>9394</v>
      </c>
      <c r="I1081" s="1244"/>
      <c r="J1081" s="1243"/>
      <c r="K1081" s="1255"/>
      <c r="L1081" s="1254"/>
      <c r="M1081" s="1240"/>
      <c r="N1081" s="1240"/>
      <c r="O1081" s="1240"/>
      <c r="P1081" s="1240"/>
      <c r="Q1081" s="1240"/>
    </row>
    <row r="1082" spans="1:17" s="1256" customFormat="1" ht="15" customHeight="1">
      <c r="A1082" s="4692"/>
      <c r="B1082" s="4693"/>
      <c r="C1082" s="4694"/>
      <c r="D1082" s="4705"/>
      <c r="E1082" s="1245" t="s">
        <v>470</v>
      </c>
      <c r="F1082" s="1244">
        <f t="shared" si="54"/>
        <v>1706</v>
      </c>
      <c r="G1082" s="1244"/>
      <c r="H1082" s="1244"/>
      <c r="I1082" s="1244">
        <v>1706</v>
      </c>
      <c r="J1082" s="1243"/>
      <c r="K1082" s="1255"/>
      <c r="L1082" s="1254"/>
      <c r="M1082" s="1240"/>
      <c r="N1082" s="1240"/>
      <c r="O1082" s="1240"/>
      <c r="P1082" s="1240"/>
      <c r="Q1082" s="1240"/>
    </row>
    <row r="1083" spans="1:17" s="1256" customFormat="1" ht="15" hidden="1" customHeight="1">
      <c r="A1083" s="4692"/>
      <c r="B1083" s="4693"/>
      <c r="C1083" s="4694"/>
      <c r="D1083" s="4705"/>
      <c r="E1083" s="1245" t="s">
        <v>469</v>
      </c>
      <c r="F1083" s="1244">
        <f t="shared" si="54"/>
        <v>0</v>
      </c>
      <c r="G1083" s="1244"/>
      <c r="H1083" s="1244"/>
      <c r="I1083" s="1244"/>
      <c r="J1083" s="1243"/>
      <c r="K1083" s="1255"/>
      <c r="L1083" s="1254"/>
      <c r="M1083" s="1240"/>
      <c r="N1083" s="1240"/>
      <c r="O1083" s="1240"/>
      <c r="P1083" s="1240"/>
      <c r="Q1083" s="1240"/>
    </row>
    <row r="1084" spans="1:17" s="1256" customFormat="1" ht="15" hidden="1" customHeight="1">
      <c r="A1084" s="4692"/>
      <c r="B1084" s="4693"/>
      <c r="C1084" s="4694"/>
      <c r="D1084" s="4705"/>
      <c r="E1084" s="1245" t="s">
        <v>468</v>
      </c>
      <c r="F1084" s="1244">
        <f t="shared" si="54"/>
        <v>0</v>
      </c>
      <c r="G1084" s="1244"/>
      <c r="H1084" s="1244"/>
      <c r="I1084" s="1244"/>
      <c r="J1084" s="1243"/>
      <c r="K1084" s="1255"/>
      <c r="L1084" s="1254"/>
      <c r="M1084" s="1240"/>
      <c r="N1084" s="1240"/>
      <c r="O1084" s="1240"/>
      <c r="P1084" s="1240"/>
      <c r="Q1084" s="1240"/>
    </row>
    <row r="1085" spans="1:17" s="1256" customFormat="1" ht="15" hidden="1" customHeight="1">
      <c r="A1085" s="4692"/>
      <c r="B1085" s="4693"/>
      <c r="C1085" s="4694"/>
      <c r="D1085" s="4705"/>
      <c r="E1085" s="1245" t="s">
        <v>446</v>
      </c>
      <c r="F1085" s="1244">
        <f t="shared" si="54"/>
        <v>0</v>
      </c>
      <c r="G1085" s="1244"/>
      <c r="H1085" s="1244"/>
      <c r="I1085" s="1244"/>
      <c r="J1085" s="1243"/>
      <c r="K1085" s="1255"/>
      <c r="L1085" s="1254"/>
      <c r="M1085" s="1240"/>
      <c r="N1085" s="1240"/>
      <c r="O1085" s="1240"/>
      <c r="P1085" s="1240"/>
      <c r="Q1085" s="1240"/>
    </row>
    <row r="1086" spans="1:17" s="1256" customFormat="1" ht="15" hidden="1" customHeight="1">
      <c r="A1086" s="4692"/>
      <c r="B1086" s="4693"/>
      <c r="C1086" s="4694"/>
      <c r="D1086" s="4705"/>
      <c r="E1086" s="1245" t="s">
        <v>445</v>
      </c>
      <c r="F1086" s="1244">
        <f t="shared" si="54"/>
        <v>0</v>
      </c>
      <c r="G1086" s="1244"/>
      <c r="H1086" s="1244"/>
      <c r="I1086" s="1244"/>
      <c r="J1086" s="1243"/>
      <c r="K1086" s="1255"/>
      <c r="L1086" s="1254"/>
      <c r="M1086" s="1240"/>
      <c r="N1086" s="1240"/>
      <c r="O1086" s="1240"/>
      <c r="P1086" s="1240"/>
      <c r="Q1086" s="1240"/>
    </row>
    <row r="1087" spans="1:17" s="1256" customFormat="1" ht="15" hidden="1" customHeight="1">
      <c r="A1087" s="4692"/>
      <c r="B1087" s="4693"/>
      <c r="C1087" s="4694"/>
      <c r="D1087" s="4705"/>
      <c r="E1087" s="1245" t="s">
        <v>467</v>
      </c>
      <c r="F1087" s="1244">
        <f t="shared" si="54"/>
        <v>0</v>
      </c>
      <c r="G1087" s="1244"/>
      <c r="H1087" s="1244"/>
      <c r="I1087" s="1244"/>
      <c r="J1087" s="1243"/>
      <c r="K1087" s="1255"/>
      <c r="L1087" s="1254"/>
      <c r="M1087" s="1240"/>
      <c r="N1087" s="1240"/>
      <c r="O1087" s="1240"/>
      <c r="P1087" s="1240"/>
      <c r="Q1087" s="1240"/>
    </row>
    <row r="1088" spans="1:17" s="1256" customFormat="1" ht="15" hidden="1" customHeight="1">
      <c r="A1088" s="4692"/>
      <c r="B1088" s="4693"/>
      <c r="C1088" s="4694"/>
      <c r="D1088" s="4705"/>
      <c r="E1088" s="1245" t="s">
        <v>466</v>
      </c>
      <c r="F1088" s="1244">
        <f t="shared" si="54"/>
        <v>0</v>
      </c>
      <c r="G1088" s="1244"/>
      <c r="H1088" s="1244"/>
      <c r="I1088" s="1244"/>
      <c r="J1088" s="1243"/>
      <c r="K1088" s="1255"/>
      <c r="L1088" s="1254"/>
      <c r="M1088" s="1240"/>
      <c r="N1088" s="1240"/>
      <c r="O1088" s="1240"/>
      <c r="P1088" s="1240"/>
      <c r="Q1088" s="1240"/>
    </row>
    <row r="1089" spans="1:10" ht="15" customHeight="1">
      <c r="A1089" s="4692"/>
      <c r="B1089" s="4693"/>
      <c r="C1089" s="4694"/>
      <c r="D1089" s="4705"/>
      <c r="E1089" s="1239" t="s">
        <v>423</v>
      </c>
      <c r="F1089" s="1238">
        <f>SUM(F1090:F1091)</f>
        <v>0</v>
      </c>
      <c r="G1089" s="1238">
        <f>SUM(G1090:G1091)</f>
        <v>0</v>
      </c>
      <c r="H1089" s="1238">
        <f>SUM(H1090:H1091)</f>
        <v>0</v>
      </c>
      <c r="I1089" s="1238">
        <f>SUM(I1090:I1091)</f>
        <v>0</v>
      </c>
      <c r="J1089" s="1237">
        <f>SUM(J1090:J1091)</f>
        <v>0</v>
      </c>
    </row>
    <row r="1090" spans="1:10" ht="15" hidden="1" customHeight="1">
      <c r="A1090" s="1235"/>
      <c r="B1090" s="1234"/>
      <c r="C1090" s="1233"/>
      <c r="D1090" s="1232"/>
      <c r="E1090" s="1236"/>
      <c r="F1090" s="1230">
        <f>SUM(G1090:J1090)</f>
        <v>0</v>
      </c>
      <c r="G1090" s="1230"/>
      <c r="H1090" s="1230"/>
      <c r="I1090" s="1230"/>
      <c r="J1090" s="1229"/>
    </row>
    <row r="1091" spans="1:10" ht="15" hidden="1" customHeight="1">
      <c r="A1091" s="1235"/>
      <c r="B1091" s="1234"/>
      <c r="C1091" s="1233"/>
      <c r="D1091" s="1232"/>
      <c r="E1091" s="1231"/>
      <c r="F1091" s="1230">
        <f>SUM(G1091:J1091)</f>
        <v>0</v>
      </c>
      <c r="G1091" s="1230"/>
      <c r="H1091" s="1230"/>
      <c r="I1091" s="1230"/>
      <c r="J1091" s="1229"/>
    </row>
    <row r="1092" spans="1:10" ht="22.5">
      <c r="A1092" s="4692" t="s">
        <v>465</v>
      </c>
      <c r="B1092" s="4693" t="s">
        <v>464</v>
      </c>
      <c r="C1092" s="4694">
        <v>801</v>
      </c>
      <c r="D1092" s="4705" t="s">
        <v>463</v>
      </c>
      <c r="E1092" s="1253" t="s">
        <v>435</v>
      </c>
      <c r="F1092" s="1252">
        <f>SUM(F1093,F1119)</f>
        <v>123419</v>
      </c>
      <c r="G1092" s="1252">
        <f>SUM(G1093,G1119)</f>
        <v>0</v>
      </c>
      <c r="H1092" s="1252">
        <f>SUM(H1093,H1119)</f>
        <v>104449</v>
      </c>
      <c r="I1092" s="1252">
        <f>SUM(I1093,I1119)</f>
        <v>18970</v>
      </c>
      <c r="J1092" s="1251">
        <f>SUM(J1093,J1119)</f>
        <v>0</v>
      </c>
    </row>
    <row r="1093" spans="1:10" ht="21">
      <c r="A1093" s="4692"/>
      <c r="B1093" s="4693"/>
      <c r="C1093" s="4694"/>
      <c r="D1093" s="4705"/>
      <c r="E1093" s="1250" t="s">
        <v>434</v>
      </c>
      <c r="F1093" s="1238">
        <f>SUM(F1094,F1097,F1110)</f>
        <v>123419</v>
      </c>
      <c r="G1093" s="1238">
        <f>SUM(G1094,G1097,G1110)</f>
        <v>0</v>
      </c>
      <c r="H1093" s="1238">
        <f>SUM(H1094,H1097,H1110)</f>
        <v>104449</v>
      </c>
      <c r="I1093" s="1238">
        <f>SUM(I1094,I1097,I1110)</f>
        <v>18970</v>
      </c>
      <c r="J1093" s="1237">
        <f>SUM(J1094,J1097,J1110)</f>
        <v>0</v>
      </c>
    </row>
    <row r="1094" spans="1:10" ht="15" hidden="1" customHeight="1">
      <c r="A1094" s="4692"/>
      <c r="B1094" s="4693"/>
      <c r="C1094" s="4694"/>
      <c r="D1094" s="4705"/>
      <c r="E1094" s="1248" t="s">
        <v>433</v>
      </c>
      <c r="F1094" s="1247">
        <f>SUM(F1095:F1096)</f>
        <v>0</v>
      </c>
      <c r="G1094" s="1247">
        <f>SUM(G1095:G1096)</f>
        <v>0</v>
      </c>
      <c r="H1094" s="1247">
        <f>SUM(H1095:H1096)</f>
        <v>0</v>
      </c>
      <c r="I1094" s="1247">
        <f>SUM(I1095:I1096)</f>
        <v>0</v>
      </c>
      <c r="J1094" s="1246">
        <f>SUM(J1095:J1096)</f>
        <v>0</v>
      </c>
    </row>
    <row r="1095" spans="1:10" ht="15" hidden="1" customHeight="1">
      <c r="A1095" s="4692"/>
      <c r="B1095" s="4693"/>
      <c r="C1095" s="4694"/>
      <c r="D1095" s="4705"/>
      <c r="E1095" s="1245" t="s">
        <v>183</v>
      </c>
      <c r="F1095" s="1244">
        <f>SUM(G1095:J1095)</f>
        <v>0</v>
      </c>
      <c r="G1095" s="1244"/>
      <c r="H1095" s="1244"/>
      <c r="I1095" s="1244"/>
      <c r="J1095" s="1243"/>
    </row>
    <row r="1096" spans="1:10" ht="15" hidden="1" customHeight="1">
      <c r="A1096" s="4692"/>
      <c r="B1096" s="4693"/>
      <c r="C1096" s="4694"/>
      <c r="D1096" s="4705"/>
      <c r="E1096" s="1245" t="s">
        <v>185</v>
      </c>
      <c r="F1096" s="1244">
        <f>SUM(G1096:J1096)</f>
        <v>0</v>
      </c>
      <c r="G1096" s="1244"/>
      <c r="H1096" s="1244"/>
      <c r="I1096" s="1244"/>
      <c r="J1096" s="1243"/>
    </row>
    <row r="1097" spans="1:10" ht="22.5">
      <c r="A1097" s="4692"/>
      <c r="B1097" s="4693"/>
      <c r="C1097" s="4694"/>
      <c r="D1097" s="4705"/>
      <c r="E1097" s="1248" t="s">
        <v>432</v>
      </c>
      <c r="F1097" s="1247">
        <f>SUM(F1098:F1109)</f>
        <v>121335</v>
      </c>
      <c r="G1097" s="1247">
        <f>SUM(G1098:G1109)</f>
        <v>0</v>
      </c>
      <c r="H1097" s="1247">
        <f>SUM(H1098:H1109)</f>
        <v>102686</v>
      </c>
      <c r="I1097" s="1247">
        <f>SUM(I1098:I1109)</f>
        <v>18649</v>
      </c>
      <c r="J1097" s="1246">
        <f>SUM(J1098:J1109)</f>
        <v>0</v>
      </c>
    </row>
    <row r="1098" spans="1:10" ht="15" customHeight="1">
      <c r="A1098" s="4692"/>
      <c r="B1098" s="4693"/>
      <c r="C1098" s="4694"/>
      <c r="D1098" s="4705"/>
      <c r="E1098" s="1249" t="s">
        <v>462</v>
      </c>
      <c r="F1098" s="1244">
        <f t="shared" ref="F1098:F1109" si="55">SUM(G1098:J1098)</f>
        <v>12779</v>
      </c>
      <c r="G1098" s="1244"/>
      <c r="H1098" s="1244">
        <v>12779</v>
      </c>
      <c r="I1098" s="1244"/>
      <c r="J1098" s="1243"/>
    </row>
    <row r="1099" spans="1:10" ht="15" customHeight="1">
      <c r="A1099" s="4692"/>
      <c r="B1099" s="4693"/>
      <c r="C1099" s="4694"/>
      <c r="D1099" s="4705"/>
      <c r="E1099" s="1249" t="s">
        <v>461</v>
      </c>
      <c r="F1099" s="1244">
        <f t="shared" si="55"/>
        <v>2321</v>
      </c>
      <c r="G1099" s="1244"/>
      <c r="H1099" s="1244"/>
      <c r="I1099" s="1244">
        <v>2321</v>
      </c>
      <c r="J1099" s="1243"/>
    </row>
    <row r="1100" spans="1:10" ht="15" customHeight="1">
      <c r="A1100" s="4692"/>
      <c r="B1100" s="4693"/>
      <c r="C1100" s="4694"/>
      <c r="D1100" s="4705"/>
      <c r="E1100" s="1249" t="s">
        <v>460</v>
      </c>
      <c r="F1100" s="1244">
        <f t="shared" si="55"/>
        <v>14472</v>
      </c>
      <c r="G1100" s="1244"/>
      <c r="H1100" s="1244">
        <v>14472</v>
      </c>
      <c r="I1100" s="1244"/>
      <c r="J1100" s="1243"/>
    </row>
    <row r="1101" spans="1:10" ht="15" customHeight="1">
      <c r="A1101" s="4692"/>
      <c r="B1101" s="4693"/>
      <c r="C1101" s="4694"/>
      <c r="D1101" s="4705"/>
      <c r="E1101" s="1249" t="s">
        <v>459</v>
      </c>
      <c r="F1101" s="1244">
        <f t="shared" si="55"/>
        <v>2628</v>
      </c>
      <c r="G1101" s="1244"/>
      <c r="H1101" s="1244"/>
      <c r="I1101" s="1244">
        <v>2628</v>
      </c>
      <c r="J1101" s="1243"/>
    </row>
    <row r="1102" spans="1:10" ht="15" customHeight="1">
      <c r="A1102" s="4692"/>
      <c r="B1102" s="4693"/>
      <c r="C1102" s="4694"/>
      <c r="D1102" s="4705"/>
      <c r="E1102" s="1249" t="s">
        <v>458</v>
      </c>
      <c r="F1102" s="1244">
        <f t="shared" si="55"/>
        <v>2031</v>
      </c>
      <c r="G1102" s="1244"/>
      <c r="H1102" s="1244">
        <v>2031</v>
      </c>
      <c r="I1102" s="1244"/>
      <c r="J1102" s="1243"/>
    </row>
    <row r="1103" spans="1:10" ht="15" customHeight="1">
      <c r="A1103" s="4692"/>
      <c r="B1103" s="4693"/>
      <c r="C1103" s="4694"/>
      <c r="D1103" s="4705"/>
      <c r="E1103" s="1249" t="s">
        <v>457</v>
      </c>
      <c r="F1103" s="1244">
        <f t="shared" si="55"/>
        <v>369</v>
      </c>
      <c r="G1103" s="1244"/>
      <c r="H1103" s="1244"/>
      <c r="I1103" s="1244">
        <v>369</v>
      </c>
      <c r="J1103" s="1243"/>
    </row>
    <row r="1104" spans="1:10" ht="15" customHeight="1">
      <c r="A1104" s="4692"/>
      <c r="B1104" s="4693"/>
      <c r="C1104" s="4694"/>
      <c r="D1104" s="4705"/>
      <c r="E1104" s="1249" t="s">
        <v>456</v>
      </c>
      <c r="F1104" s="1244">
        <f t="shared" si="55"/>
        <v>25389</v>
      </c>
      <c r="G1104" s="1244"/>
      <c r="H1104" s="1244">
        <v>25389</v>
      </c>
      <c r="I1104" s="1244"/>
      <c r="J1104" s="1243"/>
    </row>
    <row r="1105" spans="1:17" ht="15" customHeight="1">
      <c r="A1105" s="4692"/>
      <c r="B1105" s="4693"/>
      <c r="C1105" s="4694"/>
      <c r="D1105" s="4705"/>
      <c r="E1105" s="1249" t="s">
        <v>455</v>
      </c>
      <c r="F1105" s="1244">
        <f t="shared" si="55"/>
        <v>4611</v>
      </c>
      <c r="G1105" s="1244"/>
      <c r="H1105" s="1244"/>
      <c r="I1105" s="1244">
        <v>4611</v>
      </c>
      <c r="J1105" s="1243"/>
    </row>
    <row r="1106" spans="1:17" ht="15" customHeight="1">
      <c r="A1106" s="4692"/>
      <c r="B1106" s="4693"/>
      <c r="C1106" s="4694"/>
      <c r="D1106" s="4705"/>
      <c r="E1106" s="1249" t="s">
        <v>454</v>
      </c>
      <c r="F1106" s="1244">
        <f t="shared" si="55"/>
        <v>1088</v>
      </c>
      <c r="G1106" s="1244"/>
      <c r="H1106" s="1244">
        <v>1088</v>
      </c>
      <c r="I1106" s="1244"/>
      <c r="J1106" s="1243"/>
    </row>
    <row r="1107" spans="1:17" ht="15" customHeight="1">
      <c r="A1107" s="4692"/>
      <c r="B1107" s="4693"/>
      <c r="C1107" s="4694"/>
      <c r="D1107" s="4705"/>
      <c r="E1107" s="1249" t="s">
        <v>453</v>
      </c>
      <c r="F1107" s="1244">
        <f t="shared" si="55"/>
        <v>197</v>
      </c>
      <c r="G1107" s="1244"/>
      <c r="H1107" s="1244"/>
      <c r="I1107" s="1244">
        <v>197</v>
      </c>
      <c r="J1107" s="1243"/>
    </row>
    <row r="1108" spans="1:17" ht="15" customHeight="1">
      <c r="A1108" s="4692"/>
      <c r="B1108" s="4693"/>
      <c r="C1108" s="4694"/>
      <c r="D1108" s="4705"/>
      <c r="E1108" s="1249" t="s">
        <v>452</v>
      </c>
      <c r="F1108" s="1244">
        <f t="shared" si="55"/>
        <v>46927</v>
      </c>
      <c r="G1108" s="1244"/>
      <c r="H1108" s="1244">
        <v>46927</v>
      </c>
      <c r="I1108" s="1244"/>
      <c r="J1108" s="1243"/>
    </row>
    <row r="1109" spans="1:17" ht="15" customHeight="1">
      <c r="A1109" s="4692"/>
      <c r="B1109" s="4693"/>
      <c r="C1109" s="4694"/>
      <c r="D1109" s="4705"/>
      <c r="E1109" s="1249" t="s">
        <v>451</v>
      </c>
      <c r="F1109" s="1244">
        <f t="shared" si="55"/>
        <v>8523</v>
      </c>
      <c r="G1109" s="1244"/>
      <c r="H1109" s="1244"/>
      <c r="I1109" s="1244">
        <v>8523</v>
      </c>
      <c r="J1109" s="1243"/>
    </row>
    <row r="1110" spans="1:17" ht="22.5">
      <c r="A1110" s="4692"/>
      <c r="B1110" s="4693"/>
      <c r="C1110" s="4694"/>
      <c r="D1110" s="4705"/>
      <c r="E1110" s="1248" t="s">
        <v>427</v>
      </c>
      <c r="F1110" s="1247">
        <f>SUM(F1111:F1118)</f>
        <v>2084</v>
      </c>
      <c r="G1110" s="1247">
        <f>SUM(G1111:G1118)</f>
        <v>0</v>
      </c>
      <c r="H1110" s="1247">
        <f>SUM(H1111:H1118)</f>
        <v>1763</v>
      </c>
      <c r="I1110" s="1247">
        <f>SUM(I1111:I1118)</f>
        <v>321</v>
      </c>
      <c r="J1110" s="1246">
        <f>SUM(J1111:J1118)</f>
        <v>0</v>
      </c>
    </row>
    <row r="1111" spans="1:17" s="1256" customFormat="1" ht="15" customHeight="1">
      <c r="A1111" s="4692"/>
      <c r="B1111" s="4693"/>
      <c r="C1111" s="4694"/>
      <c r="D1111" s="4705"/>
      <c r="E1111" s="1245" t="s">
        <v>450</v>
      </c>
      <c r="F1111" s="1244">
        <f t="shared" ref="F1111:F1118" si="56">SUM(G1111:J1111)</f>
        <v>215</v>
      </c>
      <c r="G1111" s="1244"/>
      <c r="H1111" s="1244">
        <v>215</v>
      </c>
      <c r="I1111" s="1244"/>
      <c r="J1111" s="1243"/>
      <c r="K1111" s="1255"/>
      <c r="L1111" s="1254"/>
      <c r="M1111" s="1240"/>
      <c r="N1111" s="1240"/>
      <c r="O1111" s="1240"/>
      <c r="P1111" s="1240"/>
      <c r="Q1111" s="1240"/>
    </row>
    <row r="1112" spans="1:17" s="1256" customFormat="1" ht="15" customHeight="1">
      <c r="A1112" s="4692"/>
      <c r="B1112" s="4693"/>
      <c r="C1112" s="4694"/>
      <c r="D1112" s="4705"/>
      <c r="E1112" s="1245" t="s">
        <v>449</v>
      </c>
      <c r="F1112" s="1244">
        <f t="shared" si="56"/>
        <v>39</v>
      </c>
      <c r="G1112" s="1244"/>
      <c r="H1112" s="1244"/>
      <c r="I1112" s="1244">
        <v>39</v>
      </c>
      <c r="J1112" s="1243"/>
      <c r="K1112" s="1255"/>
      <c r="L1112" s="1254"/>
      <c r="M1112" s="1240"/>
      <c r="N1112" s="1240"/>
      <c r="O1112" s="1240"/>
      <c r="P1112" s="1240"/>
      <c r="Q1112" s="1240"/>
    </row>
    <row r="1113" spans="1:17" s="1256" customFormat="1" ht="15" customHeight="1">
      <c r="A1113" s="4692"/>
      <c r="B1113" s="4693"/>
      <c r="C1113" s="4694"/>
      <c r="D1113" s="4705"/>
      <c r="E1113" s="1245" t="s">
        <v>448</v>
      </c>
      <c r="F1113" s="1244">
        <f t="shared" si="56"/>
        <v>422</v>
      </c>
      <c r="G1113" s="1244"/>
      <c r="H1113" s="1244">
        <v>422</v>
      </c>
      <c r="I1113" s="1244"/>
      <c r="J1113" s="1243"/>
      <c r="K1113" s="1255"/>
      <c r="L1113" s="1254"/>
      <c r="M1113" s="1240"/>
      <c r="N1113" s="1240"/>
      <c r="O1113" s="1240"/>
      <c r="P1113" s="1240"/>
      <c r="Q1113" s="1240"/>
    </row>
    <row r="1114" spans="1:17" s="1256" customFormat="1" ht="15" customHeight="1">
      <c r="A1114" s="4692"/>
      <c r="B1114" s="4693"/>
      <c r="C1114" s="4694"/>
      <c r="D1114" s="4705"/>
      <c r="E1114" s="1245" t="s">
        <v>447</v>
      </c>
      <c r="F1114" s="1244">
        <f t="shared" si="56"/>
        <v>78</v>
      </c>
      <c r="G1114" s="1244"/>
      <c r="H1114" s="1244"/>
      <c r="I1114" s="1244">
        <v>78</v>
      </c>
      <c r="J1114" s="1243"/>
      <c r="K1114" s="1255"/>
      <c r="L1114" s="1254"/>
      <c r="M1114" s="1240"/>
      <c r="N1114" s="1240"/>
      <c r="O1114" s="1240"/>
      <c r="P1114" s="1240"/>
      <c r="Q1114" s="1240"/>
    </row>
    <row r="1115" spans="1:17" s="1256" customFormat="1" ht="15" customHeight="1">
      <c r="A1115" s="4692"/>
      <c r="B1115" s="4693"/>
      <c r="C1115" s="4694"/>
      <c r="D1115" s="4705"/>
      <c r="E1115" s="1245" t="s">
        <v>446</v>
      </c>
      <c r="F1115" s="1244">
        <f t="shared" si="56"/>
        <v>914</v>
      </c>
      <c r="G1115" s="1244"/>
      <c r="H1115" s="1244">
        <v>914</v>
      </c>
      <c r="I1115" s="1244"/>
      <c r="J1115" s="1243"/>
      <c r="K1115" s="1255"/>
      <c r="L1115" s="1254"/>
      <c r="M1115" s="1240"/>
      <c r="N1115" s="1240"/>
      <c r="O1115" s="1240"/>
      <c r="P1115" s="1240"/>
      <c r="Q1115" s="1240"/>
    </row>
    <row r="1116" spans="1:17" s="1256" customFormat="1" ht="15" customHeight="1">
      <c r="A1116" s="4692"/>
      <c r="B1116" s="4693"/>
      <c r="C1116" s="4694"/>
      <c r="D1116" s="4705"/>
      <c r="E1116" s="1245" t="s">
        <v>445</v>
      </c>
      <c r="F1116" s="1244">
        <f t="shared" si="56"/>
        <v>166</v>
      </c>
      <c r="G1116" s="1244"/>
      <c r="H1116" s="1244"/>
      <c r="I1116" s="1244">
        <v>166</v>
      </c>
      <c r="J1116" s="1243"/>
      <c r="K1116" s="1255"/>
      <c r="L1116" s="1254"/>
      <c r="M1116" s="1240"/>
      <c r="N1116" s="1240"/>
      <c r="O1116" s="1240"/>
      <c r="P1116" s="1240"/>
      <c r="Q1116" s="1240"/>
    </row>
    <row r="1117" spans="1:17" s="1256" customFormat="1" ht="15" customHeight="1">
      <c r="A1117" s="4692"/>
      <c r="B1117" s="4693"/>
      <c r="C1117" s="4694"/>
      <c r="D1117" s="4705"/>
      <c r="E1117" s="1245" t="s">
        <v>444</v>
      </c>
      <c r="F1117" s="1244">
        <f t="shared" si="56"/>
        <v>212</v>
      </c>
      <c r="G1117" s="1244"/>
      <c r="H1117" s="1244">
        <v>212</v>
      </c>
      <c r="I1117" s="1244"/>
      <c r="J1117" s="1243"/>
      <c r="K1117" s="1255"/>
      <c r="L1117" s="1254"/>
      <c r="M1117" s="1240"/>
      <c r="N1117" s="1240"/>
      <c r="O1117" s="1240"/>
      <c r="P1117" s="1240"/>
      <c r="Q1117" s="1240"/>
    </row>
    <row r="1118" spans="1:17" s="1256" customFormat="1" ht="15" customHeight="1">
      <c r="A1118" s="4692"/>
      <c r="B1118" s="4693"/>
      <c r="C1118" s="4694"/>
      <c r="D1118" s="4705"/>
      <c r="E1118" s="1245" t="s">
        <v>443</v>
      </c>
      <c r="F1118" s="1244">
        <f t="shared" si="56"/>
        <v>38</v>
      </c>
      <c r="G1118" s="1244"/>
      <c r="H1118" s="1244"/>
      <c r="I1118" s="1244">
        <v>38</v>
      </c>
      <c r="J1118" s="1243"/>
      <c r="K1118" s="1255"/>
      <c r="L1118" s="1254"/>
      <c r="M1118" s="1240"/>
      <c r="N1118" s="1240"/>
      <c r="O1118" s="1240"/>
      <c r="P1118" s="1240"/>
      <c r="Q1118" s="1240"/>
    </row>
    <row r="1119" spans="1:17" ht="15" customHeight="1">
      <c r="A1119" s="4692"/>
      <c r="B1119" s="4693"/>
      <c r="C1119" s="4694"/>
      <c r="D1119" s="4705"/>
      <c r="E1119" s="1239" t="s">
        <v>423</v>
      </c>
      <c r="F1119" s="1238">
        <f>SUM(F1120:F1121)</f>
        <v>0</v>
      </c>
      <c r="G1119" s="1238">
        <f>SUM(G1120:G1121)</f>
        <v>0</v>
      </c>
      <c r="H1119" s="1238">
        <f>SUM(H1120:H1121)</f>
        <v>0</v>
      </c>
      <c r="I1119" s="1238">
        <f>SUM(I1120:I1121)</f>
        <v>0</v>
      </c>
      <c r="J1119" s="1237">
        <f>SUM(J1120:J1121)</f>
        <v>0</v>
      </c>
    </row>
    <row r="1120" spans="1:17" ht="15" hidden="1" customHeight="1">
      <c r="A1120" s="1235"/>
      <c r="B1120" s="1234"/>
      <c r="C1120" s="1233"/>
      <c r="D1120" s="1232"/>
      <c r="E1120" s="1236"/>
      <c r="F1120" s="1230">
        <f>SUM(G1120:J1120)</f>
        <v>0</v>
      </c>
      <c r="G1120" s="1230"/>
      <c r="H1120" s="1230"/>
      <c r="I1120" s="1230"/>
      <c r="J1120" s="1229"/>
    </row>
    <row r="1121" spans="1:12" ht="15" hidden="1" customHeight="1">
      <c r="A1121" s="1235"/>
      <c r="B1121" s="1234"/>
      <c r="C1121" s="1233"/>
      <c r="D1121" s="1232"/>
      <c r="E1121" s="1231"/>
      <c r="F1121" s="1230">
        <f>SUM(G1121:J1121)</f>
        <v>0</v>
      </c>
      <c r="G1121" s="1230"/>
      <c r="H1121" s="1230"/>
      <c r="I1121" s="1230"/>
      <c r="J1121" s="1229"/>
    </row>
    <row r="1122" spans="1:12" s="1195" customFormat="1" ht="22.5">
      <c r="A1122" s="4692" t="s">
        <v>442</v>
      </c>
      <c r="B1122" s="4693" t="s">
        <v>441</v>
      </c>
      <c r="C1122" s="4694">
        <v>801</v>
      </c>
      <c r="D1122" s="4705" t="s">
        <v>436</v>
      </c>
      <c r="E1122" s="1253" t="s">
        <v>435</v>
      </c>
      <c r="F1122" s="1252">
        <f>SUM(F1123,F1139)</f>
        <v>35849</v>
      </c>
      <c r="G1122" s="1252">
        <f>SUM(G1123,G1139)</f>
        <v>0</v>
      </c>
      <c r="H1122" s="1252">
        <f>SUM(H1123,H1139)</f>
        <v>35849</v>
      </c>
      <c r="I1122" s="1252">
        <f>SUM(I1123,I1139)</f>
        <v>0</v>
      </c>
      <c r="J1122" s="1251">
        <f>SUM(J1123,J1139)</f>
        <v>0</v>
      </c>
      <c r="K1122" s="1197"/>
      <c r="L1122" s="1196"/>
    </row>
    <row r="1123" spans="1:12" s="1195" customFormat="1" ht="21">
      <c r="A1123" s="4692"/>
      <c r="B1123" s="4693"/>
      <c r="C1123" s="4694"/>
      <c r="D1123" s="4705"/>
      <c r="E1123" s="1250" t="s">
        <v>434</v>
      </c>
      <c r="F1123" s="1238">
        <f>SUM(F1124,F1127,F1133)</f>
        <v>35849</v>
      </c>
      <c r="G1123" s="1238">
        <f>SUM(G1124,G1127,G1133)</f>
        <v>0</v>
      </c>
      <c r="H1123" s="1238">
        <f>SUM(H1124,H1127,H1133)</f>
        <v>35849</v>
      </c>
      <c r="I1123" s="1238">
        <f>SUM(I1124,I1127,I1133)</f>
        <v>0</v>
      </c>
      <c r="J1123" s="1237">
        <f>SUM(J1124,J1127,J1133)</f>
        <v>0</v>
      </c>
      <c r="K1123" s="1197"/>
      <c r="L1123" s="1196"/>
    </row>
    <row r="1124" spans="1:12" s="1195" customFormat="1" ht="15" hidden="1" customHeight="1">
      <c r="A1124" s="4692"/>
      <c r="B1124" s="4693"/>
      <c r="C1124" s="4694"/>
      <c r="D1124" s="4705"/>
      <c r="E1124" s="1248" t="s">
        <v>433</v>
      </c>
      <c r="F1124" s="1247">
        <f>SUM(F1125:F1126)</f>
        <v>0</v>
      </c>
      <c r="G1124" s="1247">
        <f>SUM(G1125:G1126)</f>
        <v>0</v>
      </c>
      <c r="H1124" s="1247">
        <f>SUM(H1125:H1126)</f>
        <v>0</v>
      </c>
      <c r="I1124" s="1247">
        <f>SUM(I1125:I1126)</f>
        <v>0</v>
      </c>
      <c r="J1124" s="1246">
        <f>SUM(J1125:J1126)</f>
        <v>0</v>
      </c>
      <c r="K1124" s="1197"/>
      <c r="L1124" s="1196"/>
    </row>
    <row r="1125" spans="1:12" s="1195" customFormat="1" ht="15" hidden="1" customHeight="1">
      <c r="A1125" s="4692"/>
      <c r="B1125" s="4693"/>
      <c r="C1125" s="4694"/>
      <c r="D1125" s="4705"/>
      <c r="E1125" s="1245"/>
      <c r="F1125" s="1244">
        <f>SUM(G1125:J1125)</f>
        <v>0</v>
      </c>
      <c r="G1125" s="1244"/>
      <c r="H1125" s="1244"/>
      <c r="I1125" s="1244"/>
      <c r="J1125" s="1243"/>
      <c r="K1125" s="1197"/>
      <c r="L1125" s="1196"/>
    </row>
    <row r="1126" spans="1:12" s="1195" customFormat="1" ht="15" hidden="1" customHeight="1">
      <c r="A1126" s="4692"/>
      <c r="B1126" s="4693"/>
      <c r="C1126" s="4694"/>
      <c r="D1126" s="4705"/>
      <c r="E1126" s="1245"/>
      <c r="F1126" s="1244">
        <f>SUM(G1126:J1126)</f>
        <v>0</v>
      </c>
      <c r="G1126" s="1244"/>
      <c r="H1126" s="1244"/>
      <c r="I1126" s="1244"/>
      <c r="J1126" s="1243"/>
      <c r="K1126" s="1197"/>
      <c r="L1126" s="1196"/>
    </row>
    <row r="1127" spans="1:12" s="1195" customFormat="1" ht="22.5">
      <c r="A1127" s="4692"/>
      <c r="B1127" s="4693"/>
      <c r="C1127" s="4694"/>
      <c r="D1127" s="4705"/>
      <c r="E1127" s="1248" t="s">
        <v>432</v>
      </c>
      <c r="F1127" s="1247">
        <f>SUM(F1128:F1132)</f>
        <v>10798</v>
      </c>
      <c r="G1127" s="1247">
        <f>SUM(G1128:G1132)</f>
        <v>0</v>
      </c>
      <c r="H1127" s="1247">
        <f>SUM(H1128:H1132)</f>
        <v>10798</v>
      </c>
      <c r="I1127" s="1247">
        <f>SUM(I1128:I1132)</f>
        <v>0</v>
      </c>
      <c r="J1127" s="1246">
        <f>SUM(J1128:J1132)</f>
        <v>0</v>
      </c>
      <c r="K1127" s="1197"/>
      <c r="L1127" s="1196"/>
    </row>
    <row r="1128" spans="1:12" s="1195" customFormat="1" ht="15" customHeight="1">
      <c r="A1128" s="4692"/>
      <c r="B1128" s="4693"/>
      <c r="C1128" s="4694"/>
      <c r="D1128" s="4705"/>
      <c r="E1128" s="1249" t="s">
        <v>431</v>
      </c>
      <c r="F1128" s="1244">
        <f>SUM(G1128:J1128)</f>
        <v>7200</v>
      </c>
      <c r="G1128" s="1244"/>
      <c r="H1128" s="1244">
        <v>7200</v>
      </c>
      <c r="I1128" s="1244"/>
      <c r="J1128" s="1243"/>
      <c r="K1128" s="1197"/>
      <c r="L1128" s="1196"/>
    </row>
    <row r="1129" spans="1:12" s="1195" customFormat="1" ht="15" customHeight="1">
      <c r="A1129" s="4692"/>
      <c r="B1129" s="4693"/>
      <c r="C1129" s="4694"/>
      <c r="D1129" s="4705"/>
      <c r="E1129" s="1249" t="s">
        <v>430</v>
      </c>
      <c r="F1129" s="1244">
        <f>SUM(G1129:J1129)</f>
        <v>1548</v>
      </c>
      <c r="G1129" s="1244"/>
      <c r="H1129" s="1244">
        <v>1548</v>
      </c>
      <c r="I1129" s="1244"/>
      <c r="J1129" s="1243"/>
      <c r="K1129" s="1197"/>
      <c r="L1129" s="1196"/>
    </row>
    <row r="1130" spans="1:12" s="1195" customFormat="1" ht="15" customHeight="1">
      <c r="A1130" s="4692"/>
      <c r="B1130" s="4693"/>
      <c r="C1130" s="4694"/>
      <c r="D1130" s="4705"/>
      <c r="E1130" s="1249" t="s">
        <v>429</v>
      </c>
      <c r="F1130" s="1244">
        <f>SUM(G1130:J1130)</f>
        <v>221</v>
      </c>
      <c r="G1130" s="1244"/>
      <c r="H1130" s="1244">
        <v>221</v>
      </c>
      <c r="I1130" s="1244"/>
      <c r="J1130" s="1243"/>
      <c r="K1130" s="1197"/>
      <c r="L1130" s="1196"/>
    </row>
    <row r="1131" spans="1:12" s="1195" customFormat="1" ht="15" customHeight="1">
      <c r="A1131" s="4692"/>
      <c r="B1131" s="4693"/>
      <c r="C1131" s="4694"/>
      <c r="D1131" s="4705"/>
      <c r="E1131" s="1249" t="s">
        <v>428</v>
      </c>
      <c r="F1131" s="1244">
        <f>SUM(G1131:J1131)</f>
        <v>26</v>
      </c>
      <c r="G1131" s="1244"/>
      <c r="H1131" s="1244">
        <v>26</v>
      </c>
      <c r="I1131" s="1244"/>
      <c r="J1131" s="1243"/>
      <c r="K1131" s="1197"/>
      <c r="L1131" s="1196"/>
    </row>
    <row r="1132" spans="1:12" s="1195" customFormat="1" ht="15" customHeight="1">
      <c r="A1132" s="4692"/>
      <c r="B1132" s="4693"/>
      <c r="C1132" s="4694"/>
      <c r="D1132" s="4705"/>
      <c r="E1132" s="1249" t="s">
        <v>440</v>
      </c>
      <c r="F1132" s="1244">
        <f>SUM(G1132:J1132)</f>
        <v>1803</v>
      </c>
      <c r="G1132" s="1244"/>
      <c r="H1132" s="1244">
        <v>1803</v>
      </c>
      <c r="I1132" s="1244"/>
      <c r="J1132" s="1243"/>
      <c r="K1132" s="1197"/>
      <c r="L1132" s="1196"/>
    </row>
    <row r="1133" spans="1:12" s="1195" customFormat="1" ht="22.5">
      <c r="A1133" s="4692"/>
      <c r="B1133" s="4693"/>
      <c r="C1133" s="4694"/>
      <c r="D1133" s="4705"/>
      <c r="E1133" s="1248" t="s">
        <v>427</v>
      </c>
      <c r="F1133" s="1247">
        <f>SUM(F1134:F1138)</f>
        <v>25051</v>
      </c>
      <c r="G1133" s="1247">
        <f>SUM(G1134:G1138)</f>
        <v>0</v>
      </c>
      <c r="H1133" s="1247">
        <f>SUM(H1134:H1138)</f>
        <v>25051</v>
      </c>
      <c r="I1133" s="1247">
        <f>SUM(I1134:I1138)</f>
        <v>0</v>
      </c>
      <c r="J1133" s="1246">
        <f>SUM(J1134:J1138)</f>
        <v>0</v>
      </c>
      <c r="K1133" s="1197"/>
      <c r="L1133" s="1196"/>
    </row>
    <row r="1134" spans="1:12" s="1240" customFormat="1" ht="15" customHeight="1">
      <c r="A1134" s="4692"/>
      <c r="B1134" s="4693"/>
      <c r="C1134" s="4694"/>
      <c r="D1134" s="4705"/>
      <c r="E1134" s="1245" t="s">
        <v>426</v>
      </c>
      <c r="F1134" s="1244">
        <f>SUM(G1134:J1134)</f>
        <v>1600</v>
      </c>
      <c r="G1134" s="1244"/>
      <c r="H1134" s="1244">
        <v>1600</v>
      </c>
      <c r="I1134" s="1244"/>
      <c r="J1134" s="1243"/>
      <c r="K1134" s="1255"/>
      <c r="L1134" s="1254"/>
    </row>
    <row r="1135" spans="1:12" s="1240" customFormat="1" ht="15" customHeight="1">
      <c r="A1135" s="4692"/>
      <c r="B1135" s="4693"/>
      <c r="C1135" s="4694"/>
      <c r="D1135" s="4705"/>
      <c r="E1135" s="1245" t="s">
        <v>425</v>
      </c>
      <c r="F1135" s="1244">
        <f>SUM(G1135:J1135)</f>
        <v>1000</v>
      </c>
      <c r="G1135" s="1244"/>
      <c r="H1135" s="1244">
        <v>1000</v>
      </c>
      <c r="I1135" s="1244"/>
      <c r="J1135" s="1243"/>
      <c r="K1135" s="1255"/>
      <c r="L1135" s="1254"/>
    </row>
    <row r="1136" spans="1:12" s="1240" customFormat="1" ht="15" customHeight="1">
      <c r="A1136" s="4692"/>
      <c r="B1136" s="4693"/>
      <c r="C1136" s="4694"/>
      <c r="D1136" s="4705"/>
      <c r="E1136" s="1245" t="s">
        <v>439</v>
      </c>
      <c r="F1136" s="1244">
        <f>SUM(G1136:J1136)</f>
        <v>22051</v>
      </c>
      <c r="G1136" s="1244"/>
      <c r="H1136" s="1244">
        <v>22051</v>
      </c>
      <c r="I1136" s="1244"/>
      <c r="J1136" s="1243"/>
      <c r="K1136" s="1255"/>
      <c r="L1136" s="1254"/>
    </row>
    <row r="1137" spans="1:12" s="1240" customFormat="1" ht="15" customHeight="1">
      <c r="A1137" s="4692"/>
      <c r="B1137" s="4693"/>
      <c r="C1137" s="4694"/>
      <c r="D1137" s="4705"/>
      <c r="E1137" s="1245" t="s">
        <v>424</v>
      </c>
      <c r="F1137" s="1244">
        <f>SUM(G1137:J1137)</f>
        <v>400</v>
      </c>
      <c r="G1137" s="1244"/>
      <c r="H1137" s="1244">
        <v>400</v>
      </c>
      <c r="I1137" s="1244"/>
      <c r="J1137" s="1243"/>
      <c r="K1137" s="1255"/>
      <c r="L1137" s="1254"/>
    </row>
    <row r="1138" spans="1:12" s="1240" customFormat="1" ht="15" hidden="1" customHeight="1">
      <c r="A1138" s="4692"/>
      <c r="B1138" s="4693"/>
      <c r="C1138" s="4694"/>
      <c r="D1138" s="4705"/>
      <c r="E1138" s="1245"/>
      <c r="F1138" s="1244">
        <f>SUM(G1138:J1138)</f>
        <v>0</v>
      </c>
      <c r="G1138" s="1244"/>
      <c r="H1138" s="1244"/>
      <c r="I1138" s="1244"/>
      <c r="J1138" s="1243"/>
      <c r="K1138" s="1255"/>
      <c r="L1138" s="1254"/>
    </row>
    <row r="1139" spans="1:12" s="1195" customFormat="1" ht="15" customHeight="1">
      <c r="A1139" s="4692"/>
      <c r="B1139" s="4693"/>
      <c r="C1139" s="4694"/>
      <c r="D1139" s="4705"/>
      <c r="E1139" s="1239" t="s">
        <v>423</v>
      </c>
      <c r="F1139" s="1238">
        <f>SUM(F1140:F1141)</f>
        <v>0</v>
      </c>
      <c r="G1139" s="1238">
        <f>SUM(G1140:G1141)</f>
        <v>0</v>
      </c>
      <c r="H1139" s="1238">
        <f>SUM(H1140:H1141)</f>
        <v>0</v>
      </c>
      <c r="I1139" s="1238">
        <f>SUM(I1140:I1141)</f>
        <v>0</v>
      </c>
      <c r="J1139" s="1237">
        <f>SUM(J1140:J1141)</f>
        <v>0</v>
      </c>
      <c r="K1139" s="1197"/>
      <c r="L1139" s="1196"/>
    </row>
    <row r="1140" spans="1:12" s="1195" customFormat="1" ht="15" hidden="1" customHeight="1">
      <c r="A1140" s="1235"/>
      <c r="B1140" s="1234"/>
      <c r="C1140" s="1233"/>
      <c r="D1140" s="1232"/>
      <c r="E1140" s="1236"/>
      <c r="F1140" s="1230">
        <f>SUM(G1140:J1140)</f>
        <v>0</v>
      </c>
      <c r="G1140" s="1230"/>
      <c r="H1140" s="1230"/>
      <c r="I1140" s="1230"/>
      <c r="J1140" s="1229"/>
      <c r="K1140" s="1197"/>
      <c r="L1140" s="1196"/>
    </row>
    <row r="1141" spans="1:12" s="1195" customFormat="1" ht="15" hidden="1" customHeight="1">
      <c r="A1141" s="1235"/>
      <c r="B1141" s="1234"/>
      <c r="C1141" s="1233"/>
      <c r="D1141" s="1232"/>
      <c r="E1141" s="1231"/>
      <c r="F1141" s="1230">
        <f>SUM(G1141:J1141)</f>
        <v>0</v>
      </c>
      <c r="G1141" s="1230"/>
      <c r="H1141" s="1230"/>
      <c r="I1141" s="1230"/>
      <c r="J1141" s="1229"/>
      <c r="K1141" s="1197"/>
      <c r="L1141" s="1196"/>
    </row>
    <row r="1142" spans="1:12" s="1195" customFormat="1" ht="22.5">
      <c r="A1142" s="4692" t="s">
        <v>438</v>
      </c>
      <c r="B1142" s="4693" t="s">
        <v>437</v>
      </c>
      <c r="C1142" s="4694">
        <v>801</v>
      </c>
      <c r="D1142" s="4705" t="s">
        <v>436</v>
      </c>
      <c r="E1142" s="1253" t="s">
        <v>435</v>
      </c>
      <c r="F1142" s="1252">
        <f>SUM(F1143,F1158)</f>
        <v>892863</v>
      </c>
      <c r="G1142" s="1252">
        <f>SUM(G1143,G1158)</f>
        <v>0</v>
      </c>
      <c r="H1142" s="1252">
        <f>SUM(H1143,H1158)</f>
        <v>892863</v>
      </c>
      <c r="I1142" s="1252">
        <f>SUM(I1143,I1158)</f>
        <v>0</v>
      </c>
      <c r="J1142" s="1251">
        <f>SUM(J1143,J1158)</f>
        <v>0</v>
      </c>
      <c r="K1142" s="1223"/>
      <c r="L1142" s="1214"/>
    </row>
    <row r="1143" spans="1:12" s="1195" customFormat="1" ht="21">
      <c r="A1143" s="4692"/>
      <c r="B1143" s="4693"/>
      <c r="C1143" s="4694"/>
      <c r="D1143" s="4705"/>
      <c r="E1143" s="1250" t="s">
        <v>434</v>
      </c>
      <c r="F1143" s="1238">
        <f>SUM(F1144,F1147,F1153)</f>
        <v>892863</v>
      </c>
      <c r="G1143" s="1238">
        <f>SUM(G1144,G1147,G1153)</f>
        <v>0</v>
      </c>
      <c r="H1143" s="1238">
        <f>SUM(H1144,H1147,H1153)</f>
        <v>892863</v>
      </c>
      <c r="I1143" s="1238">
        <f>SUM(I1144,I1147,I1153)</f>
        <v>0</v>
      </c>
      <c r="J1143" s="1237">
        <f>SUM(J1144,J1147,J1153)</f>
        <v>0</v>
      </c>
      <c r="K1143" s="1223"/>
      <c r="L1143" s="1214"/>
    </row>
    <row r="1144" spans="1:12" s="1195" customFormat="1" ht="15" hidden="1" customHeight="1">
      <c r="A1144" s="4692"/>
      <c r="B1144" s="4693"/>
      <c r="C1144" s="4694"/>
      <c r="D1144" s="4705"/>
      <c r="E1144" s="1248" t="s">
        <v>433</v>
      </c>
      <c r="F1144" s="1247">
        <f>SUM(F1145:F1146)</f>
        <v>0</v>
      </c>
      <c r="G1144" s="1247">
        <f>SUM(G1145:G1146)</f>
        <v>0</v>
      </c>
      <c r="H1144" s="1247">
        <f>SUM(H1145:H1146)</f>
        <v>0</v>
      </c>
      <c r="I1144" s="1247">
        <f>SUM(I1145:I1146)</f>
        <v>0</v>
      </c>
      <c r="J1144" s="1246">
        <f>SUM(J1145:J1146)</f>
        <v>0</v>
      </c>
      <c r="K1144" s="1223"/>
      <c r="L1144" s="1214"/>
    </row>
    <row r="1145" spans="1:12" s="1195" customFormat="1" ht="15" hidden="1" customHeight="1">
      <c r="A1145" s="4692"/>
      <c r="B1145" s="4693"/>
      <c r="C1145" s="4694"/>
      <c r="D1145" s="4705"/>
      <c r="E1145" s="1245"/>
      <c r="F1145" s="1244">
        <f>SUM(G1145:J1145)</f>
        <v>0</v>
      </c>
      <c r="G1145" s="1244"/>
      <c r="H1145" s="1244"/>
      <c r="I1145" s="1244"/>
      <c r="J1145" s="1243"/>
      <c r="K1145" s="1223"/>
      <c r="L1145" s="1214"/>
    </row>
    <row r="1146" spans="1:12" s="1195" customFormat="1" ht="15" hidden="1" customHeight="1">
      <c r="A1146" s="4692"/>
      <c r="B1146" s="4693"/>
      <c r="C1146" s="4694"/>
      <c r="D1146" s="4705"/>
      <c r="E1146" s="1245"/>
      <c r="F1146" s="1244">
        <f>SUM(G1146:J1146)</f>
        <v>0</v>
      </c>
      <c r="G1146" s="1244"/>
      <c r="H1146" s="1244"/>
      <c r="I1146" s="1244"/>
      <c r="J1146" s="1243"/>
      <c r="K1146" s="1223"/>
      <c r="L1146" s="1214"/>
    </row>
    <row r="1147" spans="1:12" s="1195" customFormat="1" ht="22.5">
      <c r="A1147" s="4692"/>
      <c r="B1147" s="4693"/>
      <c r="C1147" s="4694"/>
      <c r="D1147" s="4705"/>
      <c r="E1147" s="1248" t="s">
        <v>432</v>
      </c>
      <c r="F1147" s="1247">
        <f>SUM(F1148:F1152)</f>
        <v>96912</v>
      </c>
      <c r="G1147" s="1247">
        <f>SUM(G1148:G1152)</f>
        <v>0</v>
      </c>
      <c r="H1147" s="1247">
        <f>SUM(H1148:H1152)</f>
        <v>96912</v>
      </c>
      <c r="I1147" s="1247">
        <f>SUM(I1148:I1152)</f>
        <v>0</v>
      </c>
      <c r="J1147" s="1246">
        <f>SUM(J1148:J1152)</f>
        <v>0</v>
      </c>
      <c r="K1147" s="1223"/>
      <c r="L1147" s="1214"/>
    </row>
    <row r="1148" spans="1:12" s="1195" customFormat="1" ht="15" customHeight="1">
      <c r="A1148" s="4692"/>
      <c r="B1148" s="4693"/>
      <c r="C1148" s="4694"/>
      <c r="D1148" s="4705"/>
      <c r="E1148" s="1249" t="s">
        <v>431</v>
      </c>
      <c r="F1148" s="1244">
        <f>SUM(G1148:J1148)</f>
        <v>80000</v>
      </c>
      <c r="G1148" s="1244"/>
      <c r="H1148" s="1244">
        <v>80000</v>
      </c>
      <c r="I1148" s="1244"/>
      <c r="J1148" s="1243"/>
      <c r="K1148" s="1223"/>
      <c r="L1148" s="1214"/>
    </row>
    <row r="1149" spans="1:12" s="1195" customFormat="1" ht="15" customHeight="1">
      <c r="A1149" s="4692"/>
      <c r="B1149" s="4693"/>
      <c r="C1149" s="4694"/>
      <c r="D1149" s="4705"/>
      <c r="E1149" s="1249" t="s">
        <v>430</v>
      </c>
      <c r="F1149" s="1244">
        <f>SUM(G1149:J1149)</f>
        <v>13752</v>
      </c>
      <c r="G1149" s="1244"/>
      <c r="H1149" s="1244">
        <v>13752</v>
      </c>
      <c r="I1149" s="1244"/>
      <c r="J1149" s="1243"/>
      <c r="K1149" s="1223"/>
      <c r="L1149" s="1214"/>
    </row>
    <row r="1150" spans="1:12" s="1195" customFormat="1" ht="15" customHeight="1">
      <c r="A1150" s="4692"/>
      <c r="B1150" s="4693"/>
      <c r="C1150" s="4694"/>
      <c r="D1150" s="4705"/>
      <c r="E1150" s="1249" t="s">
        <v>429</v>
      </c>
      <c r="F1150" s="1244">
        <f>SUM(G1150:J1150)</f>
        <v>1960</v>
      </c>
      <c r="G1150" s="1244"/>
      <c r="H1150" s="1244">
        <v>1960</v>
      </c>
      <c r="I1150" s="1244"/>
      <c r="J1150" s="1243"/>
      <c r="K1150" s="1223"/>
      <c r="L1150" s="1214"/>
    </row>
    <row r="1151" spans="1:12" s="1195" customFormat="1" ht="15" customHeight="1">
      <c r="A1151" s="4692"/>
      <c r="B1151" s="4693"/>
      <c r="C1151" s="4694"/>
      <c r="D1151" s="4705"/>
      <c r="E1151" s="1249" t="s">
        <v>428</v>
      </c>
      <c r="F1151" s="1244">
        <f>SUM(G1151:J1151)</f>
        <v>1200</v>
      </c>
      <c r="G1151" s="1244"/>
      <c r="H1151" s="1244">
        <v>1200</v>
      </c>
      <c r="I1151" s="1244"/>
      <c r="J1151" s="1243"/>
      <c r="K1151" s="1223"/>
      <c r="L1151" s="1214"/>
    </row>
    <row r="1152" spans="1:12" s="1195" customFormat="1" ht="15" hidden="1" customHeight="1">
      <c r="A1152" s="4692"/>
      <c r="B1152" s="4693"/>
      <c r="C1152" s="4694"/>
      <c r="D1152" s="4705"/>
      <c r="E1152" s="1249"/>
      <c r="F1152" s="1244">
        <f>SUM(G1152:J1152)</f>
        <v>0</v>
      </c>
      <c r="G1152" s="1244"/>
      <c r="H1152" s="1244"/>
      <c r="I1152" s="1244"/>
      <c r="J1152" s="1243"/>
      <c r="K1152" s="1223"/>
      <c r="L1152" s="1214"/>
    </row>
    <row r="1153" spans="1:12" s="1195" customFormat="1" ht="22.5">
      <c r="A1153" s="4692"/>
      <c r="B1153" s="4693"/>
      <c r="C1153" s="4694"/>
      <c r="D1153" s="4705"/>
      <c r="E1153" s="1248" t="s">
        <v>427</v>
      </c>
      <c r="F1153" s="1247">
        <f>SUM(F1154:F1157)</f>
        <v>795951</v>
      </c>
      <c r="G1153" s="1247">
        <f>SUM(G1154:G1157)</f>
        <v>0</v>
      </c>
      <c r="H1153" s="1247">
        <f>SUM(H1154:H1157)</f>
        <v>795951</v>
      </c>
      <c r="I1153" s="1247">
        <f>SUM(I1154:I1157)</f>
        <v>0</v>
      </c>
      <c r="J1153" s="1246">
        <f>SUM(J1154:J1157)</f>
        <v>0</v>
      </c>
      <c r="K1153" s="1223"/>
      <c r="L1153" s="1214"/>
    </row>
    <row r="1154" spans="1:12" s="1240" customFormat="1" ht="15" customHeight="1">
      <c r="A1154" s="4692"/>
      <c r="B1154" s="4693"/>
      <c r="C1154" s="4694"/>
      <c r="D1154" s="4705"/>
      <c r="E1154" s="1245" t="s">
        <v>426</v>
      </c>
      <c r="F1154" s="1244">
        <f>SUM(G1154:J1154)</f>
        <v>2199</v>
      </c>
      <c r="G1154" s="1244"/>
      <c r="H1154" s="1244">
        <v>2199</v>
      </c>
      <c r="I1154" s="1244"/>
      <c r="J1154" s="1243"/>
      <c r="K1154" s="1242"/>
      <c r="L1154" s="1241"/>
    </row>
    <row r="1155" spans="1:12" s="1240" customFormat="1" ht="15" customHeight="1">
      <c r="A1155" s="4692"/>
      <c r="B1155" s="4693"/>
      <c r="C1155" s="4694"/>
      <c r="D1155" s="4705"/>
      <c r="E1155" s="1245" t="s">
        <v>425</v>
      </c>
      <c r="F1155" s="1244">
        <f>SUM(G1155:J1155)</f>
        <v>785352</v>
      </c>
      <c r="G1155" s="1244"/>
      <c r="H1155" s="1244">
        <v>785352</v>
      </c>
      <c r="I1155" s="1244"/>
      <c r="J1155" s="1243"/>
      <c r="K1155" s="1242"/>
      <c r="L1155" s="1241"/>
    </row>
    <row r="1156" spans="1:12" s="1240" customFormat="1" ht="15" customHeight="1">
      <c r="A1156" s="4692"/>
      <c r="B1156" s="4693"/>
      <c r="C1156" s="4694"/>
      <c r="D1156" s="4705"/>
      <c r="E1156" s="1245" t="s">
        <v>424</v>
      </c>
      <c r="F1156" s="1244">
        <f>SUM(G1156:J1156)</f>
        <v>8400</v>
      </c>
      <c r="G1156" s="1244"/>
      <c r="H1156" s="1244">
        <v>8400</v>
      </c>
      <c r="I1156" s="1244"/>
      <c r="J1156" s="1243"/>
      <c r="K1156" s="1242"/>
      <c r="L1156" s="1241"/>
    </row>
    <row r="1157" spans="1:12" s="1240" customFormat="1" ht="15" hidden="1" customHeight="1">
      <c r="A1157" s="4692"/>
      <c r="B1157" s="4693"/>
      <c r="C1157" s="4694"/>
      <c r="D1157" s="4705"/>
      <c r="E1157" s="1245"/>
      <c r="F1157" s="1244">
        <f>SUM(G1157:J1157)</f>
        <v>0</v>
      </c>
      <c r="G1157" s="1244"/>
      <c r="H1157" s="1244"/>
      <c r="I1157" s="1244"/>
      <c r="J1157" s="1243"/>
      <c r="K1157" s="1242"/>
      <c r="L1157" s="1241"/>
    </row>
    <row r="1158" spans="1:12" s="1195" customFormat="1" ht="15" customHeight="1" thickBot="1">
      <c r="A1158" s="4692"/>
      <c r="B1158" s="4693"/>
      <c r="C1158" s="4694"/>
      <c r="D1158" s="4705"/>
      <c r="E1158" s="1239" t="s">
        <v>423</v>
      </c>
      <c r="F1158" s="1238">
        <f>SUM(F1159:F1160)</f>
        <v>0</v>
      </c>
      <c r="G1158" s="1238">
        <f>SUM(G1159:G1160)</f>
        <v>0</v>
      </c>
      <c r="H1158" s="1238">
        <f>SUM(H1159:H1160)</f>
        <v>0</v>
      </c>
      <c r="I1158" s="1238">
        <f>SUM(I1159:I1160)</f>
        <v>0</v>
      </c>
      <c r="J1158" s="1237">
        <f>SUM(J1159:J1160)</f>
        <v>0</v>
      </c>
      <c r="K1158" s="1223"/>
      <c r="L1158" s="1214"/>
    </row>
    <row r="1159" spans="1:12" s="1195" customFormat="1" ht="15" hidden="1" customHeight="1">
      <c r="A1159" s="1235"/>
      <c r="B1159" s="1234"/>
      <c r="C1159" s="1233"/>
      <c r="D1159" s="1232"/>
      <c r="E1159" s="1236"/>
      <c r="F1159" s="1230">
        <f>SUM(G1159:J1159)</f>
        <v>0</v>
      </c>
      <c r="G1159" s="1230"/>
      <c r="H1159" s="1230"/>
      <c r="I1159" s="1230"/>
      <c r="J1159" s="1229"/>
      <c r="K1159" s="1197"/>
      <c r="L1159" s="1196"/>
    </row>
    <row r="1160" spans="1:12" s="1195" customFormat="1" ht="15" hidden="1" customHeight="1">
      <c r="A1160" s="1235"/>
      <c r="B1160" s="1234"/>
      <c r="C1160" s="1233"/>
      <c r="D1160" s="1232"/>
      <c r="E1160" s="1231"/>
      <c r="F1160" s="1230">
        <f>SUM(G1160:J1160)</f>
        <v>0</v>
      </c>
      <c r="G1160" s="1230"/>
      <c r="H1160" s="1230"/>
      <c r="I1160" s="1230"/>
      <c r="J1160" s="1229"/>
      <c r="K1160" s="1197"/>
      <c r="L1160" s="1196"/>
    </row>
    <row r="1161" spans="1:12" s="1194" customFormat="1" ht="30" customHeight="1" thickBot="1">
      <c r="A1161" s="4732" t="s">
        <v>422</v>
      </c>
      <c r="B1161" s="4733"/>
      <c r="C1161" s="4733"/>
      <c r="D1161" s="4733"/>
      <c r="E1161" s="4733"/>
      <c r="F1161" s="1228">
        <f>F8+F658+F780+F976+F1058</f>
        <v>749586618</v>
      </c>
      <c r="G1161" s="1228">
        <f>G8+G658+G780+G976+G1058</f>
        <v>243728617</v>
      </c>
      <c r="H1161" s="1228">
        <f>H8+H658+H780+H976+H1058</f>
        <v>391358421</v>
      </c>
      <c r="I1161" s="1228">
        <f>I8+I658+I780+I976+I1058</f>
        <v>113058177</v>
      </c>
      <c r="J1161" s="1227">
        <f>J8+J658+J780+J976+J1058</f>
        <v>1441403</v>
      </c>
      <c r="K1161" s="1226"/>
      <c r="L1161" s="1214"/>
    </row>
    <row r="1162" spans="1:12" s="1194" customFormat="1" ht="15" customHeight="1">
      <c r="A1162" s="4734"/>
      <c r="B1162" s="4734"/>
      <c r="C1162" s="4734"/>
      <c r="D1162" s="4734"/>
      <c r="E1162" s="4734"/>
      <c r="F1162" s="4734"/>
      <c r="G1162" s="4734"/>
      <c r="H1162" s="4734"/>
      <c r="I1162" s="4734"/>
      <c r="J1162" s="4734"/>
      <c r="K1162" s="1223"/>
      <c r="L1162" s="1214"/>
    </row>
    <row r="1163" spans="1:12" s="1194" customFormat="1" ht="15" customHeight="1">
      <c r="C1163" s="1211"/>
      <c r="D1163" s="1211"/>
      <c r="F1163" s="1214"/>
      <c r="H1163" s="1214"/>
      <c r="I1163" s="1214"/>
      <c r="K1163" s="1225"/>
      <c r="L1163" s="1224"/>
    </row>
    <row r="1164" spans="1:12" s="1194" customFormat="1" ht="15" customHeight="1">
      <c r="C1164" s="1211"/>
      <c r="D1164" s="1211"/>
      <c r="F1164" s="1214"/>
      <c r="H1164" s="1214"/>
      <c r="K1164" s="1223"/>
      <c r="L1164" s="1214"/>
    </row>
    <row r="1165" spans="1:12" s="1194" customFormat="1" ht="15" customHeight="1">
      <c r="C1165" s="1211"/>
      <c r="D1165" s="4730"/>
      <c r="E1165" s="4730"/>
      <c r="K1165" s="1223"/>
      <c r="L1165" s="1214"/>
    </row>
    <row r="1166" spans="1:12" s="1194" customFormat="1" ht="15" customHeight="1">
      <c r="C1166" s="1211"/>
      <c r="D1166" s="4730"/>
      <c r="E1166" s="4730"/>
      <c r="F1166" s="1214"/>
      <c r="G1166" s="1214"/>
      <c r="H1166" s="1214"/>
      <c r="I1166" s="1214"/>
      <c r="J1166" s="1214"/>
      <c r="K1166" s="1214"/>
    </row>
    <row r="1167" spans="1:12" s="1194" customFormat="1" ht="15" customHeight="1">
      <c r="C1167" s="1211"/>
      <c r="D1167" s="1211"/>
      <c r="E1167" s="1222"/>
      <c r="F1167" s="1216"/>
      <c r="G1167" s="1216"/>
      <c r="H1167" s="1216"/>
      <c r="I1167" s="1216"/>
      <c r="J1167" s="1216"/>
      <c r="K1167" s="1214"/>
    </row>
    <row r="1168" spans="1:12" s="1194" customFormat="1" ht="15" customHeight="1">
      <c r="C1168" s="1211"/>
      <c r="D1168" s="1211"/>
      <c r="E1168" s="1221"/>
      <c r="F1168" s="1214"/>
      <c r="G1168" s="1214"/>
      <c r="H1168" s="1214"/>
      <c r="I1168" s="1214"/>
      <c r="J1168" s="1214"/>
      <c r="K1168" s="1214"/>
    </row>
    <row r="1169" spans="3:11" s="1194" customFormat="1" ht="15" customHeight="1">
      <c r="C1169" s="1211"/>
      <c r="D1169" s="1211"/>
      <c r="E1169" s="1221"/>
      <c r="F1169" s="1214"/>
      <c r="G1169" s="1214"/>
      <c r="H1169" s="1214"/>
      <c r="I1169" s="1214"/>
      <c r="J1169" s="1214"/>
      <c r="K1169" s="1214"/>
    </row>
    <row r="1170" spans="3:11" s="1194" customFormat="1" ht="15" customHeight="1">
      <c r="C1170" s="1211"/>
      <c r="D1170" s="1211"/>
      <c r="E1170" s="1221"/>
      <c r="F1170" s="1214"/>
      <c r="G1170" s="1214"/>
      <c r="H1170" s="1214"/>
      <c r="I1170" s="1214"/>
      <c r="J1170" s="1214"/>
      <c r="K1170" s="1214"/>
    </row>
    <row r="1171" spans="3:11" s="1194" customFormat="1" ht="15" customHeight="1">
      <c r="C1171" s="1211"/>
      <c r="D1171" s="1211"/>
      <c r="E1171" s="1217"/>
      <c r="F1171" s="1216"/>
      <c r="G1171" s="1216"/>
      <c r="H1171" s="1216"/>
      <c r="I1171" s="1216"/>
      <c r="J1171" s="1216"/>
    </row>
    <row r="1172" spans="3:11" s="1194" customFormat="1" ht="15" customHeight="1">
      <c r="C1172" s="1211"/>
      <c r="D1172" s="1211"/>
      <c r="E1172" s="1220"/>
      <c r="F1172" s="1214"/>
      <c r="G1172" s="1214"/>
      <c r="H1172" s="1214"/>
      <c r="I1172" s="1214"/>
      <c r="J1172" s="1214"/>
    </row>
    <row r="1173" spans="3:11" s="1194" customFormat="1" ht="15" customHeight="1">
      <c r="C1173" s="1211"/>
      <c r="D1173" s="1211"/>
      <c r="E1173" s="1220"/>
      <c r="F1173" s="1214"/>
      <c r="G1173" s="1214"/>
      <c r="H1173" s="1214"/>
      <c r="I1173" s="1214"/>
      <c r="J1173" s="1214"/>
    </row>
    <row r="1174" spans="3:11" s="1194" customFormat="1" ht="15" customHeight="1">
      <c r="C1174" s="1211"/>
      <c r="D1174" s="1211"/>
      <c r="E1174" s="1215"/>
      <c r="F1174" s="1216"/>
      <c r="G1174" s="1216"/>
      <c r="H1174" s="1216"/>
      <c r="I1174" s="1216"/>
      <c r="J1174" s="1216"/>
    </row>
    <row r="1175" spans="3:11" s="1194" customFormat="1" ht="15" customHeight="1">
      <c r="C1175" s="1211"/>
      <c r="D1175" s="1211"/>
      <c r="E1175" s="1215"/>
      <c r="F1175" s="1214"/>
      <c r="G1175" s="1214"/>
      <c r="H1175" s="1214"/>
      <c r="I1175" s="1214"/>
      <c r="J1175" s="1214"/>
    </row>
    <row r="1176" spans="3:11" s="1194" customFormat="1" ht="15" customHeight="1">
      <c r="C1176" s="1211"/>
      <c r="D1176" s="1211"/>
      <c r="E1176" s="1218"/>
      <c r="F1176" s="1216"/>
      <c r="G1176" s="1216"/>
      <c r="H1176" s="1216"/>
      <c r="I1176" s="1216"/>
      <c r="J1176" s="1216"/>
    </row>
    <row r="1177" spans="3:11" s="1194" customFormat="1" ht="15" customHeight="1">
      <c r="C1177" s="1211"/>
      <c r="D1177" s="1211"/>
      <c r="E1177" s="1219"/>
      <c r="F1177" s="1214"/>
      <c r="G1177" s="1214"/>
      <c r="H1177" s="1214"/>
      <c r="I1177" s="1214"/>
      <c r="J1177" s="1214"/>
    </row>
    <row r="1178" spans="3:11" s="1194" customFormat="1" ht="15" customHeight="1">
      <c r="C1178" s="1211"/>
      <c r="D1178" s="1211"/>
      <c r="E1178" s="1218"/>
      <c r="F1178" s="1214"/>
      <c r="G1178" s="1214"/>
      <c r="H1178" s="1214"/>
      <c r="I1178" s="1214"/>
      <c r="J1178" s="1214"/>
    </row>
    <row r="1179" spans="3:11" s="1194" customFormat="1" ht="15" customHeight="1">
      <c r="C1179" s="1211"/>
      <c r="D1179" s="1211"/>
      <c r="E1179" s="1218"/>
      <c r="F1179" s="1214"/>
      <c r="G1179" s="1214"/>
      <c r="H1179" s="1214"/>
      <c r="I1179" s="1214"/>
      <c r="J1179" s="1214"/>
    </row>
    <row r="1180" spans="3:11" s="1194" customFormat="1" ht="15" customHeight="1">
      <c r="C1180" s="1211"/>
      <c r="D1180" s="1211"/>
      <c r="E1180" s="1217"/>
      <c r="F1180" s="1216"/>
      <c r="G1180" s="1216"/>
      <c r="H1180" s="1216"/>
      <c r="I1180" s="1216"/>
      <c r="J1180" s="1216"/>
    </row>
    <row r="1181" spans="3:11" s="1194" customFormat="1" ht="15" customHeight="1">
      <c r="C1181" s="1211"/>
      <c r="D1181" s="1211"/>
      <c r="E1181" s="1215"/>
      <c r="F1181" s="1214"/>
    </row>
    <row r="1182" spans="3:11" s="1194" customFormat="1" ht="15" customHeight="1">
      <c r="C1182" s="1211"/>
      <c r="D1182" s="1211"/>
      <c r="E1182" s="1213"/>
      <c r="F1182" s="1212"/>
      <c r="G1182" s="1212"/>
      <c r="H1182" s="1212"/>
      <c r="I1182" s="1212"/>
      <c r="J1182" s="1212"/>
    </row>
    <row r="1183" spans="3:11" s="1194" customFormat="1">
      <c r="C1183" s="1211"/>
      <c r="D1183" s="1211"/>
    </row>
    <row r="1184" spans="3:11">
      <c r="E1184" s="1208"/>
      <c r="F1184" s="1202"/>
      <c r="G1184" s="1202"/>
      <c r="H1184" s="1202"/>
      <c r="I1184" s="1202"/>
      <c r="J1184" s="1202"/>
      <c r="K1184" s="1205"/>
    </row>
    <row r="1185" spans="4:11">
      <c r="E1185" s="1207"/>
      <c r="F1185" s="1196"/>
      <c r="G1185" s="1196"/>
      <c r="H1185" s="1196"/>
      <c r="I1185" s="1196"/>
      <c r="J1185" s="1196"/>
      <c r="K1185" s="1205"/>
    </row>
    <row r="1186" spans="4:11">
      <c r="E1186" s="1207"/>
      <c r="F1186" s="1196"/>
      <c r="G1186" s="1196"/>
      <c r="H1186" s="1196"/>
      <c r="I1186" s="1196"/>
      <c r="J1186" s="1196"/>
      <c r="K1186" s="1205"/>
    </row>
    <row r="1187" spans="4:11">
      <c r="D1187" s="4731"/>
      <c r="E1187" s="4731"/>
      <c r="F1187" s="1196"/>
      <c r="G1187" s="1196"/>
      <c r="H1187" s="1196"/>
      <c r="I1187" s="1196"/>
      <c r="J1187" s="1196"/>
      <c r="K1187" s="1205"/>
    </row>
    <row r="1188" spans="4:11">
      <c r="E1188" s="1208"/>
      <c r="F1188" s="1202"/>
      <c r="G1188" s="1202"/>
      <c r="H1188" s="1202"/>
      <c r="I1188" s="1202"/>
      <c r="J1188" s="1202"/>
      <c r="K1188" s="1205"/>
    </row>
    <row r="1189" spans="4:11">
      <c r="E1189" s="1207"/>
      <c r="F1189" s="1196"/>
      <c r="G1189" s="1196"/>
      <c r="H1189" s="1196"/>
      <c r="I1189" s="1196"/>
      <c r="J1189" s="1196"/>
      <c r="K1189" s="1205"/>
    </row>
    <row r="1190" spans="4:11">
      <c r="E1190" s="1207"/>
      <c r="F1190" s="1196"/>
      <c r="G1190" s="1196"/>
      <c r="H1190" s="1196"/>
      <c r="I1190" s="1196"/>
      <c r="J1190" s="1196"/>
      <c r="K1190" s="1205"/>
    </row>
    <row r="1191" spans="4:11">
      <c r="E1191" s="1207"/>
      <c r="F1191" s="1196"/>
      <c r="G1191" s="1196"/>
      <c r="H1191" s="1196"/>
      <c r="I1191" s="1196"/>
      <c r="J1191" s="1196"/>
      <c r="K1191" s="1205"/>
    </row>
    <row r="1192" spans="4:11">
      <c r="E1192" s="1203"/>
      <c r="F1192" s="1202"/>
      <c r="G1192" s="1202"/>
      <c r="H1192" s="1202"/>
      <c r="I1192" s="1202"/>
      <c r="J1192" s="1202"/>
    </row>
    <row r="1193" spans="4:11">
      <c r="E1193" s="1206"/>
      <c r="F1193" s="1196"/>
      <c r="G1193" s="1196"/>
      <c r="H1193" s="1196"/>
      <c r="I1193" s="1196"/>
      <c r="J1193" s="1196"/>
    </row>
    <row r="1194" spans="4:11">
      <c r="E1194" s="1206"/>
      <c r="F1194" s="1196"/>
      <c r="G1194" s="1196"/>
      <c r="H1194" s="1196"/>
      <c r="I1194" s="1196"/>
      <c r="J1194" s="1196"/>
    </row>
    <row r="1195" spans="4:11">
      <c r="E1195" s="1201"/>
      <c r="F1195" s="1202"/>
      <c r="G1195" s="1202"/>
      <c r="H1195" s="1202"/>
      <c r="I1195" s="1202"/>
      <c r="J1195" s="1202"/>
    </row>
    <row r="1196" spans="4:11">
      <c r="E1196" s="1201"/>
      <c r="F1196" s="1196"/>
      <c r="G1196" s="1196"/>
      <c r="H1196" s="1196"/>
      <c r="I1196" s="1196"/>
      <c r="J1196" s="1196"/>
    </row>
    <row r="1197" spans="4:11">
      <c r="E1197" s="1204"/>
      <c r="F1197" s="1202"/>
      <c r="G1197" s="1202"/>
      <c r="H1197" s="1202"/>
      <c r="I1197" s="1202"/>
      <c r="J1197" s="1202"/>
    </row>
    <row r="1198" spans="4:11">
      <c r="E1198" s="1200"/>
      <c r="F1198" s="1196"/>
      <c r="G1198" s="1196"/>
      <c r="H1198" s="1196"/>
      <c r="I1198" s="1196"/>
      <c r="J1198" s="1196"/>
    </row>
    <row r="1199" spans="4:11">
      <c r="E1199" s="1204"/>
      <c r="F1199" s="1196"/>
      <c r="G1199" s="1196"/>
      <c r="H1199" s="1196"/>
      <c r="I1199" s="1196"/>
      <c r="J1199" s="1196"/>
    </row>
    <row r="1200" spans="4:11">
      <c r="E1200" s="1204"/>
      <c r="F1200" s="1196"/>
      <c r="G1200" s="1196"/>
      <c r="H1200" s="1196"/>
      <c r="I1200" s="1196"/>
      <c r="J1200" s="1196"/>
    </row>
    <row r="1201" spans="4:11">
      <c r="E1201" s="1203"/>
      <c r="F1201" s="1202"/>
      <c r="G1201" s="1202"/>
      <c r="H1201" s="1202"/>
      <c r="I1201" s="1202"/>
      <c r="J1201" s="1202"/>
    </row>
    <row r="1202" spans="4:11">
      <c r="E1202" s="1201"/>
      <c r="F1202" s="1196"/>
    </row>
    <row r="1203" spans="4:11" ht="15">
      <c r="E1203" s="1210"/>
      <c r="F1203" s="1209"/>
      <c r="G1203" s="1209"/>
      <c r="H1203" s="1209"/>
      <c r="I1203" s="1209"/>
      <c r="J1203" s="1209"/>
    </row>
    <row r="1205" spans="4:11" ht="15" customHeight="1">
      <c r="D1205" s="4731"/>
      <c r="E1205" s="4731"/>
    </row>
    <row r="1206" spans="4:11">
      <c r="E1206" s="1208"/>
      <c r="F1206" s="1202"/>
      <c r="G1206" s="1202"/>
      <c r="H1206" s="1202"/>
      <c r="I1206" s="1202"/>
      <c r="J1206" s="1202"/>
      <c r="K1206" s="1205"/>
    </row>
    <row r="1207" spans="4:11">
      <c r="E1207" s="1207"/>
      <c r="F1207" s="1196"/>
      <c r="G1207" s="1196"/>
      <c r="H1207" s="1196"/>
      <c r="I1207" s="1196"/>
      <c r="J1207" s="1196"/>
      <c r="K1207" s="1205"/>
    </row>
    <row r="1208" spans="4:11">
      <c r="E1208" s="1207"/>
      <c r="F1208" s="1196"/>
      <c r="G1208" s="1196"/>
      <c r="H1208" s="1196"/>
      <c r="I1208" s="1196"/>
      <c r="J1208" s="1196"/>
      <c r="K1208" s="1205"/>
    </row>
    <row r="1209" spans="4:11">
      <c r="E1209" s="1207"/>
      <c r="F1209" s="1196"/>
      <c r="G1209" s="1196"/>
      <c r="H1209" s="1196"/>
      <c r="I1209" s="1196"/>
      <c r="J1209" s="1196"/>
      <c r="K1209" s="1205"/>
    </row>
    <row r="1210" spans="4:11">
      <c r="E1210" s="1203"/>
      <c r="F1210" s="1202"/>
      <c r="G1210" s="1202"/>
      <c r="H1210" s="1202"/>
      <c r="I1210" s="1202"/>
      <c r="J1210" s="1202"/>
      <c r="K1210" s="1205"/>
    </row>
    <row r="1211" spans="4:11">
      <c r="E1211" s="1206"/>
      <c r="F1211" s="1196"/>
      <c r="G1211" s="1196"/>
      <c r="H1211" s="1196"/>
      <c r="I1211" s="1196"/>
      <c r="J1211" s="1196"/>
      <c r="K1211" s="1205"/>
    </row>
    <row r="1212" spans="4:11">
      <c r="E1212" s="1206"/>
      <c r="F1212" s="1196"/>
      <c r="G1212" s="1196"/>
      <c r="H1212" s="1196"/>
      <c r="I1212" s="1196"/>
      <c r="J1212" s="1196"/>
      <c r="K1212" s="1205"/>
    </row>
    <row r="1213" spans="4:11">
      <c r="E1213" s="1201"/>
      <c r="F1213" s="1199"/>
      <c r="G1213" s="1199"/>
      <c r="H1213" s="1199"/>
      <c r="I1213" s="1199"/>
      <c r="J1213" s="1199"/>
      <c r="K1213" s="1205"/>
    </row>
    <row r="1214" spans="4:11">
      <c r="E1214" s="1201"/>
      <c r="F1214" s="1196"/>
      <c r="G1214" s="1196"/>
      <c r="H1214" s="1196"/>
      <c r="I1214" s="1196"/>
      <c r="J1214" s="1196"/>
    </row>
    <row r="1215" spans="4:11">
      <c r="E1215" s="1204"/>
      <c r="F1215" s="1196"/>
      <c r="G1215" s="1196"/>
      <c r="H1215" s="1196"/>
      <c r="I1215" s="1196"/>
      <c r="J1215" s="1196"/>
    </row>
    <row r="1216" spans="4:11">
      <c r="E1216" s="1200"/>
      <c r="F1216" s="1196"/>
      <c r="G1216" s="1196"/>
      <c r="H1216" s="1196"/>
      <c r="I1216" s="1196"/>
      <c r="J1216" s="1196"/>
    </row>
    <row r="1217" spans="5:10">
      <c r="E1217" s="1204"/>
      <c r="F1217" s="1196"/>
      <c r="G1217" s="1196"/>
      <c r="H1217" s="1196"/>
      <c r="I1217" s="1196"/>
      <c r="J1217" s="1196"/>
    </row>
    <row r="1218" spans="5:10">
      <c r="E1218" s="1204"/>
      <c r="F1218" s="1196"/>
      <c r="G1218" s="1196"/>
      <c r="H1218" s="1196"/>
      <c r="I1218" s="1196"/>
      <c r="J1218" s="1196"/>
    </row>
    <row r="1219" spans="5:10">
      <c r="E1219" s="1203"/>
      <c r="F1219" s="1202"/>
      <c r="G1219" s="1202"/>
      <c r="H1219" s="1202"/>
      <c r="I1219" s="1202"/>
      <c r="J1219" s="1202"/>
    </row>
    <row r="1220" spans="5:10">
      <c r="E1220" s="1201"/>
      <c r="F1220" s="1196"/>
      <c r="G1220" s="1196"/>
      <c r="H1220" s="1196"/>
      <c r="I1220" s="1196"/>
      <c r="J1220" s="1196"/>
    </row>
    <row r="1221" spans="5:10">
      <c r="E1221" s="1200"/>
      <c r="F1221" s="1199"/>
      <c r="G1221" s="1199"/>
      <c r="H1221" s="1199"/>
      <c r="I1221" s="1199"/>
      <c r="J1221" s="1199"/>
    </row>
    <row r="1222" spans="5:10">
      <c r="F1222" s="1196"/>
      <c r="G1222" s="1196"/>
      <c r="H1222" s="1196"/>
      <c r="I1222" s="1196"/>
      <c r="J1222" s="1196"/>
    </row>
    <row r="1223" spans="5:10">
      <c r="F1223" s="1196"/>
    </row>
    <row r="1224" spans="5:10">
      <c r="F1224" s="1196"/>
    </row>
    <row r="1225" spans="5:10">
      <c r="F1225" s="1196"/>
    </row>
  </sheetData>
  <sheetProtection algorithmName="SHA-512" hashValue="C1WsavetEkg/0gP1YJsUpPkQpcJas1gClyYEkxoPKI+en2NdqAVi9K35HGfWeL6EIR0MypBX62q3xkAs9/VqfQ==" saltValue="Uc9vOp3wF6ISO1wejP1/LA==" spinCount="100000" sheet="1" objects="1" scenarios="1"/>
  <mergeCells count="253">
    <mergeCell ref="D1165:E1165"/>
    <mergeCell ref="D1187:E1187"/>
    <mergeCell ref="D1205:E1205"/>
    <mergeCell ref="D1166:E1166"/>
    <mergeCell ref="A1122:A1139"/>
    <mergeCell ref="B1122:B1139"/>
    <mergeCell ref="C1122:C1139"/>
    <mergeCell ref="A1092:A1119"/>
    <mergeCell ref="B1092:B1119"/>
    <mergeCell ref="C1092:C1119"/>
    <mergeCell ref="D1092:D1119"/>
    <mergeCell ref="D1122:D1139"/>
    <mergeCell ref="A1142:A1158"/>
    <mergeCell ref="B1142:B1158"/>
    <mergeCell ref="C1142:C1158"/>
    <mergeCell ref="D1142:D1158"/>
    <mergeCell ref="A1161:E1161"/>
    <mergeCell ref="A1162:J1162"/>
    <mergeCell ref="A997:A1034"/>
    <mergeCell ref="B997:B1034"/>
    <mergeCell ref="C997:C1034"/>
    <mergeCell ref="D997:D1034"/>
    <mergeCell ref="A1060:A1089"/>
    <mergeCell ref="B1060:B1089"/>
    <mergeCell ref="C1060:C1089"/>
    <mergeCell ref="D1060:D1089"/>
    <mergeCell ref="D1037:D1055"/>
    <mergeCell ref="C1037:C1055"/>
    <mergeCell ref="B1037:B1055"/>
    <mergeCell ref="A1037:A1055"/>
    <mergeCell ref="B1058:E1058"/>
    <mergeCell ref="A1059:J1059"/>
    <mergeCell ref="A978:A994"/>
    <mergeCell ref="B978:B994"/>
    <mergeCell ref="C978:C994"/>
    <mergeCell ref="D978:D994"/>
    <mergeCell ref="A962:A973"/>
    <mergeCell ref="B962:B973"/>
    <mergeCell ref="C962:C973"/>
    <mergeCell ref="D962:D973"/>
    <mergeCell ref="A916:A957"/>
    <mergeCell ref="B916:B957"/>
    <mergeCell ref="C916:C957"/>
    <mergeCell ref="D916:D957"/>
    <mergeCell ref="B976:E976"/>
    <mergeCell ref="A977:J977"/>
    <mergeCell ref="A866:A913"/>
    <mergeCell ref="B866:B913"/>
    <mergeCell ref="C866:C913"/>
    <mergeCell ref="D866:D913"/>
    <mergeCell ref="C817:C818"/>
    <mergeCell ref="D817:D818"/>
    <mergeCell ref="A819:A863"/>
    <mergeCell ref="B819:B863"/>
    <mergeCell ref="C819:C863"/>
    <mergeCell ref="D819:D863"/>
    <mergeCell ref="C809:C812"/>
    <mergeCell ref="D809:D812"/>
    <mergeCell ref="C813:C816"/>
    <mergeCell ref="D813:D816"/>
    <mergeCell ref="C790:D791"/>
    <mergeCell ref="C792:C795"/>
    <mergeCell ref="D792:D795"/>
    <mergeCell ref="C796:C799"/>
    <mergeCell ref="D796:D799"/>
    <mergeCell ref="C800:C803"/>
    <mergeCell ref="B780:E780"/>
    <mergeCell ref="A781:J781"/>
    <mergeCell ref="D804:D807"/>
    <mergeCell ref="A790:A808"/>
    <mergeCell ref="B790:B808"/>
    <mergeCell ref="C808:D808"/>
    <mergeCell ref="D800:D803"/>
    <mergeCell ref="C804:C807"/>
    <mergeCell ref="A782:A789"/>
    <mergeCell ref="B782:B789"/>
    <mergeCell ref="C782:D783"/>
    <mergeCell ref="C784:C786"/>
    <mergeCell ref="D784:D786"/>
    <mergeCell ref="C787:D787"/>
    <mergeCell ref="C735:C749"/>
    <mergeCell ref="D735:D749"/>
    <mergeCell ref="A765:A776"/>
    <mergeCell ref="B765:B776"/>
    <mergeCell ref="C765:C776"/>
    <mergeCell ref="D765:D776"/>
    <mergeCell ref="A720:A734"/>
    <mergeCell ref="B720:B734"/>
    <mergeCell ref="C720:C734"/>
    <mergeCell ref="D720:D734"/>
    <mergeCell ref="A750:A764"/>
    <mergeCell ref="B750:B764"/>
    <mergeCell ref="C750:C764"/>
    <mergeCell ref="D750:D764"/>
    <mergeCell ref="A735:A749"/>
    <mergeCell ref="B735:B749"/>
    <mergeCell ref="A705:A719"/>
    <mergeCell ref="B705:B719"/>
    <mergeCell ref="C705:C719"/>
    <mergeCell ref="D705:D719"/>
    <mergeCell ref="A675:A689"/>
    <mergeCell ref="B675:B689"/>
    <mergeCell ref="C675:C689"/>
    <mergeCell ref="D675:D689"/>
    <mergeCell ref="A636:A655"/>
    <mergeCell ref="B636:B655"/>
    <mergeCell ref="C636:C655"/>
    <mergeCell ref="D636:D655"/>
    <mergeCell ref="A690:A704"/>
    <mergeCell ref="B690:B704"/>
    <mergeCell ref="C690:C704"/>
    <mergeCell ref="D690:D704"/>
    <mergeCell ref="B658:E658"/>
    <mergeCell ref="A659:J659"/>
    <mergeCell ref="A660:A674"/>
    <mergeCell ref="B660:B674"/>
    <mergeCell ref="C660:C674"/>
    <mergeCell ref="D660:D674"/>
    <mergeCell ref="A598:A633"/>
    <mergeCell ref="B598:B633"/>
    <mergeCell ref="C598:C633"/>
    <mergeCell ref="D598:D633"/>
    <mergeCell ref="C446:C469"/>
    <mergeCell ref="D446:D469"/>
    <mergeCell ref="A471:A491"/>
    <mergeCell ref="B471:B491"/>
    <mergeCell ref="C471:C491"/>
    <mergeCell ref="D471:D491"/>
    <mergeCell ref="A514:A539"/>
    <mergeCell ref="B514:B539"/>
    <mergeCell ref="C514:C539"/>
    <mergeCell ref="D514:D539"/>
    <mergeCell ref="A540:A573"/>
    <mergeCell ref="B540:B573"/>
    <mergeCell ref="C540:C573"/>
    <mergeCell ref="D540:D573"/>
    <mergeCell ref="A574:A595"/>
    <mergeCell ref="B574:B595"/>
    <mergeCell ref="C574:C595"/>
    <mergeCell ref="D574:D595"/>
    <mergeCell ref="A415:A429"/>
    <mergeCell ref="B415:B429"/>
    <mergeCell ref="C415:C429"/>
    <mergeCell ref="D415:D429"/>
    <mergeCell ref="A493:A511"/>
    <mergeCell ref="B493:B511"/>
    <mergeCell ref="C493:C511"/>
    <mergeCell ref="D493:D511"/>
    <mergeCell ref="A446:A469"/>
    <mergeCell ref="B446:B469"/>
    <mergeCell ref="A432:A445"/>
    <mergeCell ref="B432:B445"/>
    <mergeCell ref="C432:C445"/>
    <mergeCell ref="D432:D445"/>
    <mergeCell ref="C338:C378"/>
    <mergeCell ref="D338:D378"/>
    <mergeCell ref="A381:A412"/>
    <mergeCell ref="B381:B412"/>
    <mergeCell ref="C381:C412"/>
    <mergeCell ref="D381:D412"/>
    <mergeCell ref="A277:A299"/>
    <mergeCell ref="B277:B299"/>
    <mergeCell ref="C277:C299"/>
    <mergeCell ref="D277:D299"/>
    <mergeCell ref="A338:A378"/>
    <mergeCell ref="B338:B378"/>
    <mergeCell ref="A302:A324"/>
    <mergeCell ref="B302:B324"/>
    <mergeCell ref="C302:C324"/>
    <mergeCell ref="D302:D324"/>
    <mergeCell ref="A327:A337"/>
    <mergeCell ref="B327:B337"/>
    <mergeCell ref="C327:C337"/>
    <mergeCell ref="D327:D337"/>
    <mergeCell ref="A214:A230"/>
    <mergeCell ref="B214:B230"/>
    <mergeCell ref="C214:C230"/>
    <mergeCell ref="D214:D230"/>
    <mergeCell ref="C167:C183"/>
    <mergeCell ref="D167:D183"/>
    <mergeCell ref="A186:A199"/>
    <mergeCell ref="B186:B199"/>
    <mergeCell ref="C186:C199"/>
    <mergeCell ref="D186:D199"/>
    <mergeCell ref="A200:A213"/>
    <mergeCell ref="B200:B213"/>
    <mergeCell ref="C200:C213"/>
    <mergeCell ref="D200:D213"/>
    <mergeCell ref="C84:C120"/>
    <mergeCell ref="D84:D120"/>
    <mergeCell ref="C232:C245"/>
    <mergeCell ref="D232:D245"/>
    <mergeCell ref="A246:A264"/>
    <mergeCell ref="B246:B264"/>
    <mergeCell ref="C246:C264"/>
    <mergeCell ref="D246:D264"/>
    <mergeCell ref="A167:A183"/>
    <mergeCell ref="B167:B183"/>
    <mergeCell ref="A123:A135"/>
    <mergeCell ref="B123:B135"/>
    <mergeCell ref="C123:C135"/>
    <mergeCell ref="D123:D135"/>
    <mergeCell ref="A84:A120"/>
    <mergeCell ref="B84:B120"/>
    <mergeCell ref="A150:A164"/>
    <mergeCell ref="B150:B164"/>
    <mergeCell ref="C150:C164"/>
    <mergeCell ref="D150:D164"/>
    <mergeCell ref="A136:A149"/>
    <mergeCell ref="B136:B149"/>
    <mergeCell ref="C136:C149"/>
    <mergeCell ref="D136:D149"/>
    <mergeCell ref="A26:A34"/>
    <mergeCell ref="B26:B34"/>
    <mergeCell ref="C26:D31"/>
    <mergeCell ref="C33:C34"/>
    <mergeCell ref="D33:D34"/>
    <mergeCell ref="D63:D65"/>
    <mergeCell ref="A66:A82"/>
    <mergeCell ref="B66:B82"/>
    <mergeCell ref="C66:C82"/>
    <mergeCell ref="C52:C65"/>
    <mergeCell ref="D52:D62"/>
    <mergeCell ref="A35:A49"/>
    <mergeCell ref="B35:B49"/>
    <mergeCell ref="C35:C49"/>
    <mergeCell ref="D35:D49"/>
    <mergeCell ref="A52:A65"/>
    <mergeCell ref="B52:B65"/>
    <mergeCell ref="A265:A276"/>
    <mergeCell ref="B265:B276"/>
    <mergeCell ref="C265:C276"/>
    <mergeCell ref="D265:D276"/>
    <mergeCell ref="A232:A245"/>
    <mergeCell ref="B232:B245"/>
    <mergeCell ref="H1:J1"/>
    <mergeCell ref="A2:J2"/>
    <mergeCell ref="A4:J4"/>
    <mergeCell ref="A5:A6"/>
    <mergeCell ref="B5:B6"/>
    <mergeCell ref="B8:E8"/>
    <mergeCell ref="A9:J9"/>
    <mergeCell ref="A10:A25"/>
    <mergeCell ref="B10:B25"/>
    <mergeCell ref="C10:D15"/>
    <mergeCell ref="C17:C18"/>
    <mergeCell ref="C22:C25"/>
    <mergeCell ref="C5:C6"/>
    <mergeCell ref="D5:D6"/>
    <mergeCell ref="E5:E6"/>
    <mergeCell ref="F5:F6"/>
    <mergeCell ref="G5:J5"/>
    <mergeCell ref="D66:D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17" manualBreakCount="17">
    <brk id="34" max="9" man="1"/>
    <brk id="65" max="9" man="1"/>
    <brk id="83" max="9" man="1"/>
    <brk id="166" max="9" man="1"/>
    <brk id="245" max="9" man="1"/>
    <brk id="337" max="9" man="1"/>
    <brk id="380" max="9" man="1"/>
    <brk id="445" max="9" man="1"/>
    <brk id="469" max="9" man="1"/>
    <brk id="539" max="9" man="1"/>
    <brk id="657" max="9" man="1"/>
    <brk id="779" max="9" man="1"/>
    <brk id="818" max="9" man="1"/>
    <brk id="975" max="9" man="1"/>
    <brk id="1091" max="9" man="1"/>
    <brk id="1121" max="9" man="1"/>
    <brk id="1161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2182-585C-4428-94BB-A6A2ACBB2EA1}">
  <sheetPr>
    <tabColor rgb="FF99FF33"/>
  </sheetPr>
  <dimension ref="A1:Q525"/>
  <sheetViews>
    <sheetView view="pageBreakPreview" topLeftCell="A16" zoomScaleNormal="100" zoomScaleSheetLayoutView="100" workbookViewId="0">
      <selection activeCell="R6" sqref="R6"/>
    </sheetView>
  </sheetViews>
  <sheetFormatPr defaultRowHeight="12.75"/>
  <cols>
    <col min="1" max="1" width="5.140625" style="1194" customWidth="1"/>
    <col min="2" max="2" width="54.28515625" style="1194" customWidth="1"/>
    <col min="3" max="3" width="7.140625" style="1194" customWidth="1"/>
    <col min="4" max="4" width="10.140625" style="1194" customWidth="1"/>
    <col min="5" max="5" width="11.28515625" style="1194" customWidth="1"/>
    <col min="6" max="6" width="13.7109375" style="1194" customWidth="1"/>
    <col min="7" max="7" width="22.140625" style="1194" customWidth="1"/>
    <col min="8" max="8" width="16" style="1214" customWidth="1"/>
    <col min="9" max="9" width="10.140625" style="1194" bestFit="1" customWidth="1"/>
    <col min="10" max="256" width="9.140625" style="1194"/>
    <col min="257" max="257" width="5.140625" style="1194" customWidth="1"/>
    <col min="258" max="258" width="46.85546875" style="1194" customWidth="1"/>
    <col min="259" max="259" width="7.140625" style="1194" customWidth="1"/>
    <col min="260" max="260" width="10.140625" style="1194" customWidth="1"/>
    <col min="261" max="261" width="11.28515625" style="1194" customWidth="1"/>
    <col min="262" max="262" width="13.7109375" style="1194" customWidth="1"/>
    <col min="263" max="512" width="9.140625" style="1194"/>
    <col min="513" max="513" width="5.140625" style="1194" customWidth="1"/>
    <col min="514" max="514" width="46.85546875" style="1194" customWidth="1"/>
    <col min="515" max="515" width="7.140625" style="1194" customWidth="1"/>
    <col min="516" max="516" width="10.140625" style="1194" customWidth="1"/>
    <col min="517" max="517" width="11.28515625" style="1194" customWidth="1"/>
    <col min="518" max="518" width="13.7109375" style="1194" customWidth="1"/>
    <col min="519" max="768" width="9.140625" style="1194"/>
    <col min="769" max="769" width="5.140625" style="1194" customWidth="1"/>
    <col min="770" max="770" width="46.85546875" style="1194" customWidth="1"/>
    <col min="771" max="771" width="7.140625" style="1194" customWidth="1"/>
    <col min="772" max="772" width="10.140625" style="1194" customWidth="1"/>
    <col min="773" max="773" width="11.28515625" style="1194" customWidth="1"/>
    <col min="774" max="774" width="13.7109375" style="1194" customWidth="1"/>
    <col min="775" max="1024" width="9.140625" style="1194"/>
    <col min="1025" max="1025" width="5.140625" style="1194" customWidth="1"/>
    <col min="1026" max="1026" width="46.85546875" style="1194" customWidth="1"/>
    <col min="1027" max="1027" width="7.140625" style="1194" customWidth="1"/>
    <col min="1028" max="1028" width="10.140625" style="1194" customWidth="1"/>
    <col min="1029" max="1029" width="11.28515625" style="1194" customWidth="1"/>
    <col min="1030" max="1030" width="13.7109375" style="1194" customWidth="1"/>
    <col min="1031" max="1280" width="9.140625" style="1194"/>
    <col min="1281" max="1281" width="5.140625" style="1194" customWidth="1"/>
    <col min="1282" max="1282" width="46.85546875" style="1194" customWidth="1"/>
    <col min="1283" max="1283" width="7.140625" style="1194" customWidth="1"/>
    <col min="1284" max="1284" width="10.140625" style="1194" customWidth="1"/>
    <col min="1285" max="1285" width="11.28515625" style="1194" customWidth="1"/>
    <col min="1286" max="1286" width="13.7109375" style="1194" customWidth="1"/>
    <col min="1287" max="1536" width="9.140625" style="1194"/>
    <col min="1537" max="1537" width="5.140625" style="1194" customWidth="1"/>
    <col min="1538" max="1538" width="46.85546875" style="1194" customWidth="1"/>
    <col min="1539" max="1539" width="7.140625" style="1194" customWidth="1"/>
    <col min="1540" max="1540" width="10.140625" style="1194" customWidth="1"/>
    <col min="1541" max="1541" width="11.28515625" style="1194" customWidth="1"/>
    <col min="1542" max="1542" width="13.7109375" style="1194" customWidth="1"/>
    <col min="1543" max="1792" width="9.140625" style="1194"/>
    <col min="1793" max="1793" width="5.140625" style="1194" customWidth="1"/>
    <col min="1794" max="1794" width="46.85546875" style="1194" customWidth="1"/>
    <col min="1795" max="1795" width="7.140625" style="1194" customWidth="1"/>
    <col min="1796" max="1796" width="10.140625" style="1194" customWidth="1"/>
    <col min="1797" max="1797" width="11.28515625" style="1194" customWidth="1"/>
    <col min="1798" max="1798" width="13.7109375" style="1194" customWidth="1"/>
    <col min="1799" max="2048" width="9.140625" style="1194"/>
    <col min="2049" max="2049" width="5.140625" style="1194" customWidth="1"/>
    <col min="2050" max="2050" width="46.85546875" style="1194" customWidth="1"/>
    <col min="2051" max="2051" width="7.140625" style="1194" customWidth="1"/>
    <col min="2052" max="2052" width="10.140625" style="1194" customWidth="1"/>
    <col min="2053" max="2053" width="11.28515625" style="1194" customWidth="1"/>
    <col min="2054" max="2054" width="13.7109375" style="1194" customWidth="1"/>
    <col min="2055" max="2304" width="9.140625" style="1194"/>
    <col min="2305" max="2305" width="5.140625" style="1194" customWidth="1"/>
    <col min="2306" max="2306" width="46.85546875" style="1194" customWidth="1"/>
    <col min="2307" max="2307" width="7.140625" style="1194" customWidth="1"/>
    <col min="2308" max="2308" width="10.140625" style="1194" customWidth="1"/>
    <col min="2309" max="2309" width="11.28515625" style="1194" customWidth="1"/>
    <col min="2310" max="2310" width="13.7109375" style="1194" customWidth="1"/>
    <col min="2311" max="2560" width="9.140625" style="1194"/>
    <col min="2561" max="2561" width="5.140625" style="1194" customWidth="1"/>
    <col min="2562" max="2562" width="46.85546875" style="1194" customWidth="1"/>
    <col min="2563" max="2563" width="7.140625" style="1194" customWidth="1"/>
    <col min="2564" max="2564" width="10.140625" style="1194" customWidth="1"/>
    <col min="2565" max="2565" width="11.28515625" style="1194" customWidth="1"/>
    <col min="2566" max="2566" width="13.7109375" style="1194" customWidth="1"/>
    <col min="2567" max="2816" width="9.140625" style="1194"/>
    <col min="2817" max="2817" width="5.140625" style="1194" customWidth="1"/>
    <col min="2818" max="2818" width="46.85546875" style="1194" customWidth="1"/>
    <col min="2819" max="2819" width="7.140625" style="1194" customWidth="1"/>
    <col min="2820" max="2820" width="10.140625" style="1194" customWidth="1"/>
    <col min="2821" max="2821" width="11.28515625" style="1194" customWidth="1"/>
    <col min="2822" max="2822" width="13.7109375" style="1194" customWidth="1"/>
    <col min="2823" max="3072" width="9.140625" style="1194"/>
    <col min="3073" max="3073" width="5.140625" style="1194" customWidth="1"/>
    <col min="3074" max="3074" width="46.85546875" style="1194" customWidth="1"/>
    <col min="3075" max="3075" width="7.140625" style="1194" customWidth="1"/>
    <col min="3076" max="3076" width="10.140625" style="1194" customWidth="1"/>
    <col min="3077" max="3077" width="11.28515625" style="1194" customWidth="1"/>
    <col min="3078" max="3078" width="13.7109375" style="1194" customWidth="1"/>
    <col min="3079" max="3328" width="9.140625" style="1194"/>
    <col min="3329" max="3329" width="5.140625" style="1194" customWidth="1"/>
    <col min="3330" max="3330" width="46.85546875" style="1194" customWidth="1"/>
    <col min="3331" max="3331" width="7.140625" style="1194" customWidth="1"/>
    <col min="3332" max="3332" width="10.140625" style="1194" customWidth="1"/>
    <col min="3333" max="3333" width="11.28515625" style="1194" customWidth="1"/>
    <col min="3334" max="3334" width="13.7109375" style="1194" customWidth="1"/>
    <col min="3335" max="3584" width="9.140625" style="1194"/>
    <col min="3585" max="3585" width="5.140625" style="1194" customWidth="1"/>
    <col min="3586" max="3586" width="46.85546875" style="1194" customWidth="1"/>
    <col min="3587" max="3587" width="7.140625" style="1194" customWidth="1"/>
    <col min="3588" max="3588" width="10.140625" style="1194" customWidth="1"/>
    <col min="3589" max="3589" width="11.28515625" style="1194" customWidth="1"/>
    <col min="3590" max="3590" width="13.7109375" style="1194" customWidth="1"/>
    <col min="3591" max="3840" width="9.140625" style="1194"/>
    <col min="3841" max="3841" width="5.140625" style="1194" customWidth="1"/>
    <col min="3842" max="3842" width="46.85546875" style="1194" customWidth="1"/>
    <col min="3843" max="3843" width="7.140625" style="1194" customWidth="1"/>
    <col min="3844" max="3844" width="10.140625" style="1194" customWidth="1"/>
    <col min="3845" max="3845" width="11.28515625" style="1194" customWidth="1"/>
    <col min="3846" max="3846" width="13.7109375" style="1194" customWidth="1"/>
    <col min="3847" max="4096" width="9.140625" style="1194"/>
    <col min="4097" max="4097" width="5.140625" style="1194" customWidth="1"/>
    <col min="4098" max="4098" width="46.85546875" style="1194" customWidth="1"/>
    <col min="4099" max="4099" width="7.140625" style="1194" customWidth="1"/>
    <col min="4100" max="4100" width="10.140625" style="1194" customWidth="1"/>
    <col min="4101" max="4101" width="11.28515625" style="1194" customWidth="1"/>
    <col min="4102" max="4102" width="13.7109375" style="1194" customWidth="1"/>
    <col min="4103" max="4352" width="9.140625" style="1194"/>
    <col min="4353" max="4353" width="5.140625" style="1194" customWidth="1"/>
    <col min="4354" max="4354" width="46.85546875" style="1194" customWidth="1"/>
    <col min="4355" max="4355" width="7.140625" style="1194" customWidth="1"/>
    <col min="4356" max="4356" width="10.140625" style="1194" customWidth="1"/>
    <col min="4357" max="4357" width="11.28515625" style="1194" customWidth="1"/>
    <col min="4358" max="4358" width="13.7109375" style="1194" customWidth="1"/>
    <col min="4359" max="4608" width="9.140625" style="1194"/>
    <col min="4609" max="4609" width="5.140625" style="1194" customWidth="1"/>
    <col min="4610" max="4610" width="46.85546875" style="1194" customWidth="1"/>
    <col min="4611" max="4611" width="7.140625" style="1194" customWidth="1"/>
    <col min="4612" max="4612" width="10.140625" style="1194" customWidth="1"/>
    <col min="4613" max="4613" width="11.28515625" style="1194" customWidth="1"/>
    <col min="4614" max="4614" width="13.7109375" style="1194" customWidth="1"/>
    <col min="4615" max="4864" width="9.140625" style="1194"/>
    <col min="4865" max="4865" width="5.140625" style="1194" customWidth="1"/>
    <col min="4866" max="4866" width="46.85546875" style="1194" customWidth="1"/>
    <col min="4867" max="4867" width="7.140625" style="1194" customWidth="1"/>
    <col min="4868" max="4868" width="10.140625" style="1194" customWidth="1"/>
    <col min="4869" max="4869" width="11.28515625" style="1194" customWidth="1"/>
    <col min="4870" max="4870" width="13.7109375" style="1194" customWidth="1"/>
    <col min="4871" max="5120" width="9.140625" style="1194"/>
    <col min="5121" max="5121" width="5.140625" style="1194" customWidth="1"/>
    <col min="5122" max="5122" width="46.85546875" style="1194" customWidth="1"/>
    <col min="5123" max="5123" width="7.140625" style="1194" customWidth="1"/>
    <col min="5124" max="5124" width="10.140625" style="1194" customWidth="1"/>
    <col min="5125" max="5125" width="11.28515625" style="1194" customWidth="1"/>
    <col min="5126" max="5126" width="13.7109375" style="1194" customWidth="1"/>
    <col min="5127" max="5376" width="9.140625" style="1194"/>
    <col min="5377" max="5377" width="5.140625" style="1194" customWidth="1"/>
    <col min="5378" max="5378" width="46.85546875" style="1194" customWidth="1"/>
    <col min="5379" max="5379" width="7.140625" style="1194" customWidth="1"/>
    <col min="5380" max="5380" width="10.140625" style="1194" customWidth="1"/>
    <col min="5381" max="5381" width="11.28515625" style="1194" customWidth="1"/>
    <col min="5382" max="5382" width="13.7109375" style="1194" customWidth="1"/>
    <col min="5383" max="5632" width="9.140625" style="1194"/>
    <col min="5633" max="5633" width="5.140625" style="1194" customWidth="1"/>
    <col min="5634" max="5634" width="46.85546875" style="1194" customWidth="1"/>
    <col min="5635" max="5635" width="7.140625" style="1194" customWidth="1"/>
    <col min="5636" max="5636" width="10.140625" style="1194" customWidth="1"/>
    <col min="5637" max="5637" width="11.28515625" style="1194" customWidth="1"/>
    <col min="5638" max="5638" width="13.7109375" style="1194" customWidth="1"/>
    <col min="5639" max="5888" width="9.140625" style="1194"/>
    <col min="5889" max="5889" width="5.140625" style="1194" customWidth="1"/>
    <col min="5890" max="5890" width="46.85546875" style="1194" customWidth="1"/>
    <col min="5891" max="5891" width="7.140625" style="1194" customWidth="1"/>
    <col min="5892" max="5892" width="10.140625" style="1194" customWidth="1"/>
    <col min="5893" max="5893" width="11.28515625" style="1194" customWidth="1"/>
    <col min="5894" max="5894" width="13.7109375" style="1194" customWidth="1"/>
    <col min="5895" max="6144" width="9.140625" style="1194"/>
    <col min="6145" max="6145" width="5.140625" style="1194" customWidth="1"/>
    <col min="6146" max="6146" width="46.85546875" style="1194" customWidth="1"/>
    <col min="6147" max="6147" width="7.140625" style="1194" customWidth="1"/>
    <col min="6148" max="6148" width="10.140625" style="1194" customWidth="1"/>
    <col min="6149" max="6149" width="11.28515625" style="1194" customWidth="1"/>
    <col min="6150" max="6150" width="13.7109375" style="1194" customWidth="1"/>
    <col min="6151" max="6400" width="9.140625" style="1194"/>
    <col min="6401" max="6401" width="5.140625" style="1194" customWidth="1"/>
    <col min="6402" max="6402" width="46.85546875" style="1194" customWidth="1"/>
    <col min="6403" max="6403" width="7.140625" style="1194" customWidth="1"/>
    <col min="6404" max="6404" width="10.140625" style="1194" customWidth="1"/>
    <col min="6405" max="6405" width="11.28515625" style="1194" customWidth="1"/>
    <col min="6406" max="6406" width="13.7109375" style="1194" customWidth="1"/>
    <col min="6407" max="6656" width="9.140625" style="1194"/>
    <col min="6657" max="6657" width="5.140625" style="1194" customWidth="1"/>
    <col min="6658" max="6658" width="46.85546875" style="1194" customWidth="1"/>
    <col min="6659" max="6659" width="7.140625" style="1194" customWidth="1"/>
    <col min="6660" max="6660" width="10.140625" style="1194" customWidth="1"/>
    <col min="6661" max="6661" width="11.28515625" style="1194" customWidth="1"/>
    <col min="6662" max="6662" width="13.7109375" style="1194" customWidth="1"/>
    <col min="6663" max="6912" width="9.140625" style="1194"/>
    <col min="6913" max="6913" width="5.140625" style="1194" customWidth="1"/>
    <col min="6914" max="6914" width="46.85546875" style="1194" customWidth="1"/>
    <col min="6915" max="6915" width="7.140625" style="1194" customWidth="1"/>
    <col min="6916" max="6916" width="10.140625" style="1194" customWidth="1"/>
    <col min="6917" max="6917" width="11.28515625" style="1194" customWidth="1"/>
    <col min="6918" max="6918" width="13.7109375" style="1194" customWidth="1"/>
    <col min="6919" max="7168" width="9.140625" style="1194"/>
    <col min="7169" max="7169" width="5.140625" style="1194" customWidth="1"/>
    <col min="7170" max="7170" width="46.85546875" style="1194" customWidth="1"/>
    <col min="7171" max="7171" width="7.140625" style="1194" customWidth="1"/>
    <col min="7172" max="7172" width="10.140625" style="1194" customWidth="1"/>
    <col min="7173" max="7173" width="11.28515625" style="1194" customWidth="1"/>
    <col min="7174" max="7174" width="13.7109375" style="1194" customWidth="1"/>
    <col min="7175" max="7424" width="9.140625" style="1194"/>
    <col min="7425" max="7425" width="5.140625" style="1194" customWidth="1"/>
    <col min="7426" max="7426" width="46.85546875" style="1194" customWidth="1"/>
    <col min="7427" max="7427" width="7.140625" style="1194" customWidth="1"/>
    <col min="7428" max="7428" width="10.140625" style="1194" customWidth="1"/>
    <col min="7429" max="7429" width="11.28515625" style="1194" customWidth="1"/>
    <col min="7430" max="7430" width="13.7109375" style="1194" customWidth="1"/>
    <col min="7431" max="7680" width="9.140625" style="1194"/>
    <col min="7681" max="7681" width="5.140625" style="1194" customWidth="1"/>
    <col min="7682" max="7682" width="46.85546875" style="1194" customWidth="1"/>
    <col min="7683" max="7683" width="7.140625" style="1194" customWidth="1"/>
    <col min="7684" max="7684" width="10.140625" style="1194" customWidth="1"/>
    <col min="7685" max="7685" width="11.28515625" style="1194" customWidth="1"/>
    <col min="7686" max="7686" width="13.7109375" style="1194" customWidth="1"/>
    <col min="7687" max="7936" width="9.140625" style="1194"/>
    <col min="7937" max="7937" width="5.140625" style="1194" customWidth="1"/>
    <col min="7938" max="7938" width="46.85546875" style="1194" customWidth="1"/>
    <col min="7939" max="7939" width="7.140625" style="1194" customWidth="1"/>
    <col min="7940" max="7940" width="10.140625" style="1194" customWidth="1"/>
    <col min="7941" max="7941" width="11.28515625" style="1194" customWidth="1"/>
    <col min="7942" max="7942" width="13.7109375" style="1194" customWidth="1"/>
    <col min="7943" max="8192" width="9.140625" style="1194"/>
    <col min="8193" max="8193" width="5.140625" style="1194" customWidth="1"/>
    <col min="8194" max="8194" width="46.85546875" style="1194" customWidth="1"/>
    <col min="8195" max="8195" width="7.140625" style="1194" customWidth="1"/>
    <col min="8196" max="8196" width="10.140625" style="1194" customWidth="1"/>
    <col min="8197" max="8197" width="11.28515625" style="1194" customWidth="1"/>
    <col min="8198" max="8198" width="13.7109375" style="1194" customWidth="1"/>
    <col min="8199" max="8448" width="9.140625" style="1194"/>
    <col min="8449" max="8449" width="5.140625" style="1194" customWidth="1"/>
    <col min="8450" max="8450" width="46.85546875" style="1194" customWidth="1"/>
    <col min="8451" max="8451" width="7.140625" style="1194" customWidth="1"/>
    <col min="8452" max="8452" width="10.140625" style="1194" customWidth="1"/>
    <col min="8453" max="8453" width="11.28515625" style="1194" customWidth="1"/>
    <col min="8454" max="8454" width="13.7109375" style="1194" customWidth="1"/>
    <col min="8455" max="8704" width="9.140625" style="1194"/>
    <col min="8705" max="8705" width="5.140625" style="1194" customWidth="1"/>
    <col min="8706" max="8706" width="46.85546875" style="1194" customWidth="1"/>
    <col min="8707" max="8707" width="7.140625" style="1194" customWidth="1"/>
    <col min="8708" max="8708" width="10.140625" style="1194" customWidth="1"/>
    <col min="8709" max="8709" width="11.28515625" style="1194" customWidth="1"/>
    <col min="8710" max="8710" width="13.7109375" style="1194" customWidth="1"/>
    <col min="8711" max="8960" width="9.140625" style="1194"/>
    <col min="8961" max="8961" width="5.140625" style="1194" customWidth="1"/>
    <col min="8962" max="8962" width="46.85546875" style="1194" customWidth="1"/>
    <col min="8963" max="8963" width="7.140625" style="1194" customWidth="1"/>
    <col min="8964" max="8964" width="10.140625" style="1194" customWidth="1"/>
    <col min="8965" max="8965" width="11.28515625" style="1194" customWidth="1"/>
    <col min="8966" max="8966" width="13.7109375" style="1194" customWidth="1"/>
    <col min="8967" max="9216" width="9.140625" style="1194"/>
    <col min="9217" max="9217" width="5.140625" style="1194" customWidth="1"/>
    <col min="9218" max="9218" width="46.85546875" style="1194" customWidth="1"/>
    <col min="9219" max="9219" width="7.140625" style="1194" customWidth="1"/>
    <col min="9220" max="9220" width="10.140625" style="1194" customWidth="1"/>
    <col min="9221" max="9221" width="11.28515625" style="1194" customWidth="1"/>
    <col min="9222" max="9222" width="13.7109375" style="1194" customWidth="1"/>
    <col min="9223" max="9472" width="9.140625" style="1194"/>
    <col min="9473" max="9473" width="5.140625" style="1194" customWidth="1"/>
    <col min="9474" max="9474" width="46.85546875" style="1194" customWidth="1"/>
    <col min="9475" max="9475" width="7.140625" style="1194" customWidth="1"/>
    <col min="9476" max="9476" width="10.140625" style="1194" customWidth="1"/>
    <col min="9477" max="9477" width="11.28515625" style="1194" customWidth="1"/>
    <col min="9478" max="9478" width="13.7109375" style="1194" customWidth="1"/>
    <col min="9479" max="9728" width="9.140625" style="1194"/>
    <col min="9729" max="9729" width="5.140625" style="1194" customWidth="1"/>
    <col min="9730" max="9730" width="46.85546875" style="1194" customWidth="1"/>
    <col min="9731" max="9731" width="7.140625" style="1194" customWidth="1"/>
    <col min="9732" max="9732" width="10.140625" style="1194" customWidth="1"/>
    <col min="9733" max="9733" width="11.28515625" style="1194" customWidth="1"/>
    <col min="9734" max="9734" width="13.7109375" style="1194" customWidth="1"/>
    <col min="9735" max="9984" width="9.140625" style="1194"/>
    <col min="9985" max="9985" width="5.140625" style="1194" customWidth="1"/>
    <col min="9986" max="9986" width="46.85546875" style="1194" customWidth="1"/>
    <col min="9987" max="9987" width="7.140625" style="1194" customWidth="1"/>
    <col min="9988" max="9988" width="10.140625" style="1194" customWidth="1"/>
    <col min="9989" max="9989" width="11.28515625" style="1194" customWidth="1"/>
    <col min="9990" max="9990" width="13.7109375" style="1194" customWidth="1"/>
    <col min="9991" max="10240" width="9.140625" style="1194"/>
    <col min="10241" max="10241" width="5.140625" style="1194" customWidth="1"/>
    <col min="10242" max="10242" width="46.85546875" style="1194" customWidth="1"/>
    <col min="10243" max="10243" width="7.140625" style="1194" customWidth="1"/>
    <col min="10244" max="10244" width="10.140625" style="1194" customWidth="1"/>
    <col min="10245" max="10245" width="11.28515625" style="1194" customWidth="1"/>
    <col min="10246" max="10246" width="13.7109375" style="1194" customWidth="1"/>
    <col min="10247" max="10496" width="9.140625" style="1194"/>
    <col min="10497" max="10497" width="5.140625" style="1194" customWidth="1"/>
    <col min="10498" max="10498" width="46.85546875" style="1194" customWidth="1"/>
    <col min="10499" max="10499" width="7.140625" style="1194" customWidth="1"/>
    <col min="10500" max="10500" width="10.140625" style="1194" customWidth="1"/>
    <col min="10501" max="10501" width="11.28515625" style="1194" customWidth="1"/>
    <col min="10502" max="10502" width="13.7109375" style="1194" customWidth="1"/>
    <col min="10503" max="10752" width="9.140625" style="1194"/>
    <col min="10753" max="10753" width="5.140625" style="1194" customWidth="1"/>
    <col min="10754" max="10754" width="46.85546875" style="1194" customWidth="1"/>
    <col min="10755" max="10755" width="7.140625" style="1194" customWidth="1"/>
    <col min="10756" max="10756" width="10.140625" style="1194" customWidth="1"/>
    <col min="10757" max="10757" width="11.28515625" style="1194" customWidth="1"/>
    <col min="10758" max="10758" width="13.7109375" style="1194" customWidth="1"/>
    <col min="10759" max="11008" width="9.140625" style="1194"/>
    <col min="11009" max="11009" width="5.140625" style="1194" customWidth="1"/>
    <col min="11010" max="11010" width="46.85546875" style="1194" customWidth="1"/>
    <col min="11011" max="11011" width="7.140625" style="1194" customWidth="1"/>
    <col min="11012" max="11012" width="10.140625" style="1194" customWidth="1"/>
    <col min="11013" max="11013" width="11.28515625" style="1194" customWidth="1"/>
    <col min="11014" max="11014" width="13.7109375" style="1194" customWidth="1"/>
    <col min="11015" max="11264" width="9.140625" style="1194"/>
    <col min="11265" max="11265" width="5.140625" style="1194" customWidth="1"/>
    <col min="11266" max="11266" width="46.85546875" style="1194" customWidth="1"/>
    <col min="11267" max="11267" width="7.140625" style="1194" customWidth="1"/>
    <col min="11268" max="11268" width="10.140625" style="1194" customWidth="1"/>
    <col min="11269" max="11269" width="11.28515625" style="1194" customWidth="1"/>
    <col min="11270" max="11270" width="13.7109375" style="1194" customWidth="1"/>
    <col min="11271" max="11520" width="9.140625" style="1194"/>
    <col min="11521" max="11521" width="5.140625" style="1194" customWidth="1"/>
    <col min="11522" max="11522" width="46.85546875" style="1194" customWidth="1"/>
    <col min="11523" max="11523" width="7.140625" style="1194" customWidth="1"/>
    <col min="11524" max="11524" width="10.140625" style="1194" customWidth="1"/>
    <col min="11525" max="11525" width="11.28515625" style="1194" customWidth="1"/>
    <col min="11526" max="11526" width="13.7109375" style="1194" customWidth="1"/>
    <col min="11527" max="11776" width="9.140625" style="1194"/>
    <col min="11777" max="11777" width="5.140625" style="1194" customWidth="1"/>
    <col min="11778" max="11778" width="46.85546875" style="1194" customWidth="1"/>
    <col min="11779" max="11779" width="7.140625" style="1194" customWidth="1"/>
    <col min="11780" max="11780" width="10.140625" style="1194" customWidth="1"/>
    <col min="11781" max="11781" width="11.28515625" style="1194" customWidth="1"/>
    <col min="11782" max="11782" width="13.7109375" style="1194" customWidth="1"/>
    <col min="11783" max="12032" width="9.140625" style="1194"/>
    <col min="12033" max="12033" width="5.140625" style="1194" customWidth="1"/>
    <col min="12034" max="12034" width="46.85546875" style="1194" customWidth="1"/>
    <col min="12035" max="12035" width="7.140625" style="1194" customWidth="1"/>
    <col min="12036" max="12036" width="10.140625" style="1194" customWidth="1"/>
    <col min="12037" max="12037" width="11.28515625" style="1194" customWidth="1"/>
    <col min="12038" max="12038" width="13.7109375" style="1194" customWidth="1"/>
    <col min="12039" max="12288" width="9.140625" style="1194"/>
    <col min="12289" max="12289" width="5.140625" style="1194" customWidth="1"/>
    <col min="12290" max="12290" width="46.85546875" style="1194" customWidth="1"/>
    <col min="12291" max="12291" width="7.140625" style="1194" customWidth="1"/>
    <col min="12292" max="12292" width="10.140625" style="1194" customWidth="1"/>
    <col min="12293" max="12293" width="11.28515625" style="1194" customWidth="1"/>
    <col min="12294" max="12294" width="13.7109375" style="1194" customWidth="1"/>
    <col min="12295" max="12544" width="9.140625" style="1194"/>
    <col min="12545" max="12545" width="5.140625" style="1194" customWidth="1"/>
    <col min="12546" max="12546" width="46.85546875" style="1194" customWidth="1"/>
    <col min="12547" max="12547" width="7.140625" style="1194" customWidth="1"/>
    <col min="12548" max="12548" width="10.140625" style="1194" customWidth="1"/>
    <col min="12549" max="12549" width="11.28515625" style="1194" customWidth="1"/>
    <col min="12550" max="12550" width="13.7109375" style="1194" customWidth="1"/>
    <col min="12551" max="12800" width="9.140625" style="1194"/>
    <col min="12801" max="12801" width="5.140625" style="1194" customWidth="1"/>
    <col min="12802" max="12802" width="46.85546875" style="1194" customWidth="1"/>
    <col min="12803" max="12803" width="7.140625" style="1194" customWidth="1"/>
    <col min="12804" max="12804" width="10.140625" style="1194" customWidth="1"/>
    <col min="12805" max="12805" width="11.28515625" style="1194" customWidth="1"/>
    <col min="12806" max="12806" width="13.7109375" style="1194" customWidth="1"/>
    <col min="12807" max="13056" width="9.140625" style="1194"/>
    <col min="13057" max="13057" width="5.140625" style="1194" customWidth="1"/>
    <col min="13058" max="13058" width="46.85546875" style="1194" customWidth="1"/>
    <col min="13059" max="13059" width="7.140625" style="1194" customWidth="1"/>
    <col min="13060" max="13060" width="10.140625" style="1194" customWidth="1"/>
    <col min="13061" max="13061" width="11.28515625" style="1194" customWidth="1"/>
    <col min="13062" max="13062" width="13.7109375" style="1194" customWidth="1"/>
    <col min="13063" max="13312" width="9.140625" style="1194"/>
    <col min="13313" max="13313" width="5.140625" style="1194" customWidth="1"/>
    <col min="13314" max="13314" width="46.85546875" style="1194" customWidth="1"/>
    <col min="13315" max="13315" width="7.140625" style="1194" customWidth="1"/>
    <col min="13316" max="13316" width="10.140625" style="1194" customWidth="1"/>
    <col min="13317" max="13317" width="11.28515625" style="1194" customWidth="1"/>
    <col min="13318" max="13318" width="13.7109375" style="1194" customWidth="1"/>
    <col min="13319" max="13568" width="9.140625" style="1194"/>
    <col min="13569" max="13569" width="5.140625" style="1194" customWidth="1"/>
    <col min="13570" max="13570" width="46.85546875" style="1194" customWidth="1"/>
    <col min="13571" max="13571" width="7.140625" style="1194" customWidth="1"/>
    <col min="13572" max="13572" width="10.140625" style="1194" customWidth="1"/>
    <col min="13573" max="13573" width="11.28515625" style="1194" customWidth="1"/>
    <col min="13574" max="13574" width="13.7109375" style="1194" customWidth="1"/>
    <col min="13575" max="13824" width="9.140625" style="1194"/>
    <col min="13825" max="13825" width="5.140625" style="1194" customWidth="1"/>
    <col min="13826" max="13826" width="46.85546875" style="1194" customWidth="1"/>
    <col min="13827" max="13827" width="7.140625" style="1194" customWidth="1"/>
    <col min="13828" max="13828" width="10.140625" style="1194" customWidth="1"/>
    <col min="13829" max="13829" width="11.28515625" style="1194" customWidth="1"/>
    <col min="13830" max="13830" width="13.7109375" style="1194" customWidth="1"/>
    <col min="13831" max="14080" width="9.140625" style="1194"/>
    <col min="14081" max="14081" width="5.140625" style="1194" customWidth="1"/>
    <col min="14082" max="14082" width="46.85546875" style="1194" customWidth="1"/>
    <col min="14083" max="14083" width="7.140625" style="1194" customWidth="1"/>
    <col min="14084" max="14084" width="10.140625" style="1194" customWidth="1"/>
    <col min="14085" max="14085" width="11.28515625" style="1194" customWidth="1"/>
    <col min="14086" max="14086" width="13.7109375" style="1194" customWidth="1"/>
    <col min="14087" max="14336" width="9.140625" style="1194"/>
    <col min="14337" max="14337" width="5.140625" style="1194" customWidth="1"/>
    <col min="14338" max="14338" width="46.85546875" style="1194" customWidth="1"/>
    <col min="14339" max="14339" width="7.140625" style="1194" customWidth="1"/>
    <col min="14340" max="14340" width="10.140625" style="1194" customWidth="1"/>
    <col min="14341" max="14341" width="11.28515625" style="1194" customWidth="1"/>
    <col min="14342" max="14342" width="13.7109375" style="1194" customWidth="1"/>
    <col min="14343" max="14592" width="9.140625" style="1194"/>
    <col min="14593" max="14593" width="5.140625" style="1194" customWidth="1"/>
    <col min="14594" max="14594" width="46.85546875" style="1194" customWidth="1"/>
    <col min="14595" max="14595" width="7.140625" style="1194" customWidth="1"/>
    <col min="14596" max="14596" width="10.140625" style="1194" customWidth="1"/>
    <col min="14597" max="14597" width="11.28515625" style="1194" customWidth="1"/>
    <col min="14598" max="14598" width="13.7109375" style="1194" customWidth="1"/>
    <col min="14599" max="14848" width="9.140625" style="1194"/>
    <col min="14849" max="14849" width="5.140625" style="1194" customWidth="1"/>
    <col min="14850" max="14850" width="46.85546875" style="1194" customWidth="1"/>
    <col min="14851" max="14851" width="7.140625" style="1194" customWidth="1"/>
    <col min="14852" max="14852" width="10.140625" style="1194" customWidth="1"/>
    <col min="14853" max="14853" width="11.28515625" style="1194" customWidth="1"/>
    <col min="14854" max="14854" width="13.7109375" style="1194" customWidth="1"/>
    <col min="14855" max="15104" width="9.140625" style="1194"/>
    <col min="15105" max="15105" width="5.140625" style="1194" customWidth="1"/>
    <col min="15106" max="15106" width="46.85546875" style="1194" customWidth="1"/>
    <col min="15107" max="15107" width="7.140625" style="1194" customWidth="1"/>
    <col min="15108" max="15108" width="10.140625" style="1194" customWidth="1"/>
    <col min="15109" max="15109" width="11.28515625" style="1194" customWidth="1"/>
    <col min="15110" max="15110" width="13.7109375" style="1194" customWidth="1"/>
    <col min="15111" max="15360" width="9.140625" style="1194"/>
    <col min="15361" max="15361" width="5.140625" style="1194" customWidth="1"/>
    <col min="15362" max="15362" width="46.85546875" style="1194" customWidth="1"/>
    <col min="15363" max="15363" width="7.140625" style="1194" customWidth="1"/>
    <col min="15364" max="15364" width="10.140625" style="1194" customWidth="1"/>
    <col min="15365" max="15365" width="11.28515625" style="1194" customWidth="1"/>
    <col min="15366" max="15366" width="13.7109375" style="1194" customWidth="1"/>
    <col min="15367" max="15616" width="9.140625" style="1194"/>
    <col min="15617" max="15617" width="5.140625" style="1194" customWidth="1"/>
    <col min="15618" max="15618" width="46.85546875" style="1194" customWidth="1"/>
    <col min="15619" max="15619" width="7.140625" style="1194" customWidth="1"/>
    <col min="15620" max="15620" width="10.140625" style="1194" customWidth="1"/>
    <col min="15621" max="15621" width="11.28515625" style="1194" customWidth="1"/>
    <col min="15622" max="15622" width="13.7109375" style="1194" customWidth="1"/>
    <col min="15623" max="15872" width="9.140625" style="1194"/>
    <col min="15873" max="15873" width="5.140625" style="1194" customWidth="1"/>
    <col min="15874" max="15874" width="46.85546875" style="1194" customWidth="1"/>
    <col min="15875" max="15875" width="7.140625" style="1194" customWidth="1"/>
    <col min="15876" max="15876" width="10.140625" style="1194" customWidth="1"/>
    <col min="15877" max="15877" width="11.28515625" style="1194" customWidth="1"/>
    <col min="15878" max="15878" width="13.7109375" style="1194" customWidth="1"/>
    <col min="15879" max="16128" width="9.140625" style="1194"/>
    <col min="16129" max="16129" width="5.140625" style="1194" customWidth="1"/>
    <col min="16130" max="16130" width="46.85546875" style="1194" customWidth="1"/>
    <col min="16131" max="16131" width="7.140625" style="1194" customWidth="1"/>
    <col min="16132" max="16132" width="10.140625" style="1194" customWidth="1"/>
    <col min="16133" max="16133" width="11.28515625" style="1194" customWidth="1"/>
    <col min="16134" max="16134" width="13.7109375" style="1194" customWidth="1"/>
    <col min="16135" max="16384" width="9.140625" style="1194"/>
  </cols>
  <sheetData>
    <row r="1" spans="1:6" ht="50.25" customHeight="1">
      <c r="A1" s="4735"/>
      <c r="B1" s="4735"/>
      <c r="C1" s="4736" t="s">
        <v>1452</v>
      </c>
      <c r="D1" s="4736"/>
      <c r="E1" s="4736"/>
      <c r="F1" s="4736"/>
    </row>
    <row r="2" spans="1:6" ht="15">
      <c r="A2" s="4737" t="s">
        <v>710</v>
      </c>
      <c r="B2" s="4737"/>
      <c r="C2" s="4737"/>
      <c r="D2" s="4737"/>
      <c r="E2" s="4737"/>
      <c r="F2" s="4737"/>
    </row>
    <row r="3" spans="1:6" ht="9" customHeight="1">
      <c r="A3" s="1417"/>
      <c r="B3" s="1417"/>
      <c r="C3" s="1417"/>
      <c r="D3" s="1417"/>
      <c r="E3" s="1417"/>
      <c r="F3" s="1417"/>
    </row>
    <row r="4" spans="1:6" ht="15" thickBot="1">
      <c r="A4" s="4738" t="s">
        <v>665</v>
      </c>
      <c r="B4" s="4738"/>
      <c r="C4" s="4738"/>
      <c r="D4" s="4738"/>
      <c r="E4" s="4738"/>
      <c r="F4" s="4738"/>
    </row>
    <row r="5" spans="1:6" ht="35.25" customHeight="1" thickBot="1">
      <c r="A5" s="1416" t="s">
        <v>653</v>
      </c>
      <c r="B5" s="1416" t="s">
        <v>688</v>
      </c>
      <c r="C5" s="1416" t="s">
        <v>2</v>
      </c>
      <c r="D5" s="1416" t="s">
        <v>651</v>
      </c>
      <c r="E5" s="1416" t="s">
        <v>5</v>
      </c>
      <c r="F5" s="1415" t="s">
        <v>687</v>
      </c>
    </row>
    <row r="6" spans="1:6">
      <c r="A6" s="1380">
        <v>1</v>
      </c>
      <c r="B6" s="1403" t="s">
        <v>709</v>
      </c>
      <c r="C6" s="4739">
        <v>921</v>
      </c>
      <c r="D6" s="4755">
        <v>92118</v>
      </c>
      <c r="E6" s="4742">
        <v>2480</v>
      </c>
      <c r="F6" s="1414">
        <v>7470136</v>
      </c>
    </row>
    <row r="7" spans="1:6">
      <c r="A7" s="1374">
        <v>2</v>
      </c>
      <c r="B7" s="969" t="s">
        <v>708</v>
      </c>
      <c r="C7" s="4740"/>
      <c r="D7" s="4756"/>
      <c r="E7" s="4743"/>
      <c r="F7" s="1413">
        <v>5185261</v>
      </c>
    </row>
    <row r="8" spans="1:6">
      <c r="A8" s="1374">
        <v>3</v>
      </c>
      <c r="B8" s="969" t="s">
        <v>707</v>
      </c>
      <c r="C8" s="4740"/>
      <c r="D8" s="4756"/>
      <c r="E8" s="4743"/>
      <c r="F8" s="1413">
        <v>5645806</v>
      </c>
    </row>
    <row r="9" spans="1:6">
      <c r="A9" s="1374">
        <v>4</v>
      </c>
      <c r="B9" s="969" t="s">
        <v>706</v>
      </c>
      <c r="C9" s="4740"/>
      <c r="D9" s="4756"/>
      <c r="E9" s="4743"/>
      <c r="F9" s="1413">
        <v>3811617</v>
      </c>
    </row>
    <row r="10" spans="1:6" ht="15" customHeight="1">
      <c r="A10" s="1374">
        <v>5</v>
      </c>
      <c r="B10" s="969" t="s">
        <v>705</v>
      </c>
      <c r="C10" s="4740"/>
      <c r="D10" s="4756"/>
      <c r="E10" s="4743"/>
      <c r="F10" s="1413">
        <v>4944901</v>
      </c>
    </row>
    <row r="11" spans="1:6">
      <c r="A11" s="1374">
        <v>6</v>
      </c>
      <c r="B11" s="969" t="s">
        <v>704</v>
      </c>
      <c r="C11" s="4740"/>
      <c r="D11" s="4756"/>
      <c r="E11" s="4743"/>
      <c r="F11" s="1413">
        <v>5503116</v>
      </c>
    </row>
    <row r="12" spans="1:6">
      <c r="A12" s="1373">
        <v>7</v>
      </c>
      <c r="B12" s="676" t="s">
        <v>703</v>
      </c>
      <c r="C12" s="4740"/>
      <c r="D12" s="4756"/>
      <c r="E12" s="4743"/>
      <c r="F12" s="1396">
        <v>1416340</v>
      </c>
    </row>
    <row r="13" spans="1:6" ht="25.5">
      <c r="A13" s="1412">
        <v>8</v>
      </c>
      <c r="B13" s="1411" t="s">
        <v>702</v>
      </c>
      <c r="C13" s="4740"/>
      <c r="D13" s="4756"/>
      <c r="E13" s="4743"/>
      <c r="F13" s="1396">
        <v>287734</v>
      </c>
    </row>
    <row r="14" spans="1:6">
      <c r="A14" s="1410">
        <v>9</v>
      </c>
      <c r="B14" s="760" t="s">
        <v>701</v>
      </c>
      <c r="C14" s="4740"/>
      <c r="D14" s="4756"/>
      <c r="E14" s="4743"/>
      <c r="F14" s="1371">
        <v>1251425</v>
      </c>
    </row>
    <row r="15" spans="1:6" ht="13.5" thickBot="1">
      <c r="A15" s="1409">
        <v>10</v>
      </c>
      <c r="B15" s="1408" t="s">
        <v>700</v>
      </c>
      <c r="C15" s="4740"/>
      <c r="D15" s="4757"/>
      <c r="E15" s="4743"/>
      <c r="F15" s="1407">
        <v>650000</v>
      </c>
    </row>
    <row r="16" spans="1:6" ht="13.5" thickBot="1">
      <c r="A16" s="4745" t="s">
        <v>699</v>
      </c>
      <c r="B16" s="4746"/>
      <c r="C16" s="4740"/>
      <c r="D16" s="1406">
        <v>92118</v>
      </c>
      <c r="E16" s="4743"/>
      <c r="F16" s="1405">
        <f>SUM(F6:F15)</f>
        <v>36166336</v>
      </c>
    </row>
    <row r="17" spans="1:7">
      <c r="A17" s="1404">
        <v>10</v>
      </c>
      <c r="B17" s="1403" t="s">
        <v>698</v>
      </c>
      <c r="C17" s="4740"/>
      <c r="D17" s="4747">
        <v>92109</v>
      </c>
      <c r="E17" s="4743"/>
      <c r="F17" s="1401">
        <f>11282284+50000</f>
        <v>11332284</v>
      </c>
    </row>
    <row r="18" spans="1:7" ht="13.5" thickBot="1">
      <c r="A18" s="1373">
        <v>11</v>
      </c>
      <c r="B18" s="676" t="s">
        <v>697</v>
      </c>
      <c r="C18" s="4740"/>
      <c r="D18" s="4748"/>
      <c r="E18" s="4743"/>
      <c r="F18" s="1396">
        <v>3651740</v>
      </c>
      <c r="G18" s="1214"/>
    </row>
    <row r="19" spans="1:7" ht="13.5" thickBot="1">
      <c r="A19" s="4745" t="s">
        <v>696</v>
      </c>
      <c r="B19" s="4746"/>
      <c r="C19" s="4740"/>
      <c r="D19" s="1406">
        <v>92109</v>
      </c>
      <c r="E19" s="4743"/>
      <c r="F19" s="1405">
        <f>SUM(F17:F18)</f>
        <v>14984024</v>
      </c>
    </row>
    <row r="20" spans="1:7">
      <c r="A20" s="1404">
        <v>12</v>
      </c>
      <c r="B20" s="1403" t="s">
        <v>695</v>
      </c>
      <c r="C20" s="4740"/>
      <c r="D20" s="1402">
        <v>92106</v>
      </c>
      <c r="E20" s="4743"/>
      <c r="F20" s="1401">
        <v>7207581</v>
      </c>
    </row>
    <row r="21" spans="1:7">
      <c r="A21" s="1374">
        <v>13</v>
      </c>
      <c r="B21" s="969" t="s">
        <v>694</v>
      </c>
      <c r="C21" s="4740"/>
      <c r="D21" s="1400">
        <v>92108</v>
      </c>
      <c r="E21" s="4743"/>
      <c r="F21" s="1399">
        <v>9573569</v>
      </c>
    </row>
    <row r="22" spans="1:7">
      <c r="A22" s="1374">
        <v>14</v>
      </c>
      <c r="B22" s="969" t="s">
        <v>693</v>
      </c>
      <c r="C22" s="4740"/>
      <c r="D22" s="1400">
        <v>92110</v>
      </c>
      <c r="E22" s="4743"/>
      <c r="F22" s="1399">
        <v>754514</v>
      </c>
    </row>
    <row r="23" spans="1:7" ht="17.25" customHeight="1">
      <c r="A23" s="1374">
        <v>15</v>
      </c>
      <c r="B23" s="969" t="s">
        <v>692</v>
      </c>
      <c r="C23" s="4740"/>
      <c r="D23" s="1400">
        <v>92114</v>
      </c>
      <c r="E23" s="4743"/>
      <c r="F23" s="1399">
        <v>2540371</v>
      </c>
    </row>
    <row r="24" spans="1:7" ht="13.5" thickBot="1">
      <c r="A24" s="1398">
        <v>16</v>
      </c>
      <c r="B24" s="676" t="s">
        <v>691</v>
      </c>
      <c r="C24" s="4741"/>
      <c r="D24" s="1397">
        <v>92116</v>
      </c>
      <c r="E24" s="4744"/>
      <c r="F24" s="1396">
        <v>10781470</v>
      </c>
      <c r="G24" s="1214"/>
    </row>
    <row r="25" spans="1:7" ht="15.75" thickBot="1">
      <c r="A25" s="4758" t="s">
        <v>690</v>
      </c>
      <c r="B25" s="4759"/>
      <c r="C25" s="4759"/>
      <c r="D25" s="4760"/>
      <c r="E25" s="1383"/>
      <c r="F25" s="1389">
        <f>SUM(F16,F19,F20:F24)</f>
        <v>82007865</v>
      </c>
      <c r="G25" s="1214"/>
    </row>
    <row r="26" spans="1:7" ht="13.5" thickBot="1">
      <c r="A26" s="1394">
        <v>17</v>
      </c>
      <c r="B26" s="1395" t="s">
        <v>689</v>
      </c>
      <c r="C26" s="1394">
        <v>853</v>
      </c>
      <c r="D26" s="1393">
        <v>85311</v>
      </c>
      <c r="E26" s="1392">
        <v>2570</v>
      </c>
      <c r="F26" s="1391">
        <v>140047</v>
      </c>
    </row>
    <row r="27" spans="1:7" ht="15.75" thickBot="1">
      <c r="A27" s="4758" t="s">
        <v>675</v>
      </c>
      <c r="B27" s="4759"/>
      <c r="C27" s="4759"/>
      <c r="D27" s="4760"/>
      <c r="E27" s="1390"/>
      <c r="F27" s="1389">
        <f>SUM(F26:F26)</f>
        <v>140047</v>
      </c>
    </row>
    <row r="28" spans="1:7" ht="22.5" customHeight="1" thickBot="1">
      <c r="A28" s="4752" t="s">
        <v>674</v>
      </c>
      <c r="B28" s="4753"/>
      <c r="C28" s="4753"/>
      <c r="D28" s="4754"/>
      <c r="E28" s="1388"/>
      <c r="F28" s="1387">
        <f>F27+F25</f>
        <v>82147912</v>
      </c>
      <c r="G28" s="1214"/>
    </row>
    <row r="29" spans="1:7" ht="10.5" customHeight="1">
      <c r="A29" s="1386"/>
      <c r="B29" s="1385"/>
      <c r="C29" s="1385"/>
      <c r="D29" s="1385"/>
      <c r="E29" s="1385"/>
      <c r="F29" s="1384"/>
    </row>
    <row r="30" spans="1:7" ht="15" thickBot="1">
      <c r="A30" s="4761" t="s">
        <v>663</v>
      </c>
      <c r="B30" s="4762"/>
      <c r="C30" s="4762"/>
      <c r="D30" s="4762"/>
      <c r="E30" s="4762"/>
      <c r="F30" s="4763"/>
    </row>
    <row r="31" spans="1:7" ht="30.75" thickBot="1">
      <c r="A31" s="1382" t="s">
        <v>653</v>
      </c>
      <c r="B31" s="1383" t="s">
        <v>688</v>
      </c>
      <c r="C31" s="1382" t="s">
        <v>2</v>
      </c>
      <c r="D31" s="1383" t="s">
        <v>651</v>
      </c>
      <c r="E31" s="1382" t="s">
        <v>5</v>
      </c>
      <c r="F31" s="1381" t="s">
        <v>687</v>
      </c>
    </row>
    <row r="32" spans="1:7">
      <c r="A32" s="1380">
        <v>1</v>
      </c>
      <c r="B32" s="1379" t="s">
        <v>686</v>
      </c>
      <c r="C32" s="4764">
        <v>853</v>
      </c>
      <c r="D32" s="4764">
        <v>85311</v>
      </c>
      <c r="E32" s="4742">
        <v>2580</v>
      </c>
      <c r="F32" s="1378">
        <v>229167</v>
      </c>
    </row>
    <row r="33" spans="1:9">
      <c r="A33" s="1374">
        <v>2</v>
      </c>
      <c r="B33" s="1377" t="s">
        <v>685</v>
      </c>
      <c r="C33" s="4765"/>
      <c r="D33" s="4765"/>
      <c r="E33" s="4743"/>
      <c r="F33" s="1376">
        <v>287223</v>
      </c>
    </row>
    <row r="34" spans="1:9">
      <c r="A34" s="1374">
        <v>3</v>
      </c>
      <c r="B34" s="1377" t="s">
        <v>684</v>
      </c>
      <c r="C34" s="4765"/>
      <c r="D34" s="4765"/>
      <c r="E34" s="4743"/>
      <c r="F34" s="1376">
        <v>216945</v>
      </c>
    </row>
    <row r="35" spans="1:9">
      <c r="A35" s="1374">
        <v>4</v>
      </c>
      <c r="B35" s="1377" t="s">
        <v>683</v>
      </c>
      <c r="C35" s="4765"/>
      <c r="D35" s="4765"/>
      <c r="E35" s="4743"/>
      <c r="F35" s="1376">
        <v>409445</v>
      </c>
    </row>
    <row r="36" spans="1:9">
      <c r="A36" s="1374">
        <v>5</v>
      </c>
      <c r="B36" s="1377" t="s">
        <v>682</v>
      </c>
      <c r="C36" s="4765"/>
      <c r="D36" s="4765"/>
      <c r="E36" s="4743"/>
      <c r="F36" s="1376">
        <v>97778</v>
      </c>
    </row>
    <row r="37" spans="1:9">
      <c r="A37" s="1374">
        <v>6</v>
      </c>
      <c r="B37" s="1377" t="s">
        <v>681</v>
      </c>
      <c r="C37" s="4765"/>
      <c r="D37" s="4765"/>
      <c r="E37" s="4743"/>
      <c r="F37" s="1376">
        <v>290278</v>
      </c>
      <c r="G37" s="1375"/>
    </row>
    <row r="38" spans="1:9">
      <c r="A38" s="1373">
        <v>7</v>
      </c>
      <c r="B38" s="1372" t="s">
        <v>680</v>
      </c>
      <c r="C38" s="4765"/>
      <c r="D38" s="4765"/>
      <c r="E38" s="4743"/>
      <c r="F38" s="1371">
        <v>161945</v>
      </c>
      <c r="G38" s="1214"/>
    </row>
    <row r="39" spans="1:9">
      <c r="A39" s="1373">
        <v>8</v>
      </c>
      <c r="B39" s="788" t="s">
        <v>679</v>
      </c>
      <c r="C39" s="4765"/>
      <c r="D39" s="4765"/>
      <c r="E39" s="4743"/>
      <c r="F39" s="1371">
        <v>131389</v>
      </c>
      <c r="G39" s="1214"/>
    </row>
    <row r="40" spans="1:9">
      <c r="A40" s="1374">
        <v>9</v>
      </c>
      <c r="B40" s="788" t="s">
        <v>678</v>
      </c>
      <c r="C40" s="4765"/>
      <c r="D40" s="4765"/>
      <c r="E40" s="4743"/>
      <c r="F40" s="1371">
        <v>192501</v>
      </c>
      <c r="G40" s="1214"/>
    </row>
    <row r="41" spans="1:9">
      <c r="A41" s="1373">
        <v>10</v>
      </c>
      <c r="B41" s="1372" t="s">
        <v>677</v>
      </c>
      <c r="C41" s="4765"/>
      <c r="D41" s="4765"/>
      <c r="E41" s="4743"/>
      <c r="F41" s="1371">
        <v>238334</v>
      </c>
      <c r="G41" s="1214"/>
    </row>
    <row r="42" spans="1:9" ht="13.5" thickBot="1">
      <c r="A42" s="1373">
        <v>11</v>
      </c>
      <c r="B42" s="1372" t="s">
        <v>676</v>
      </c>
      <c r="C42" s="4765"/>
      <c r="D42" s="4765"/>
      <c r="E42" s="4743"/>
      <c r="F42" s="1371">
        <v>137501</v>
      </c>
      <c r="G42" s="1214"/>
    </row>
    <row r="43" spans="1:9" ht="15.75" thickBot="1">
      <c r="A43" s="4749" t="s">
        <v>675</v>
      </c>
      <c r="B43" s="4750"/>
      <c r="C43" s="4750"/>
      <c r="D43" s="4751"/>
      <c r="E43" s="1370"/>
      <c r="F43" s="1369">
        <f>SUM(F32:F42)</f>
        <v>2392506</v>
      </c>
      <c r="G43" s="1214"/>
    </row>
    <row r="44" spans="1:9" ht="20.25" customHeight="1" thickBot="1">
      <c r="A44" s="4752" t="s">
        <v>674</v>
      </c>
      <c r="B44" s="4753"/>
      <c r="C44" s="4753"/>
      <c r="D44" s="4753"/>
      <c r="E44" s="4754"/>
      <c r="F44" s="1368">
        <f>SUM(F43)</f>
        <v>2392506</v>
      </c>
      <c r="G44" s="1214"/>
    </row>
    <row r="45" spans="1:9">
      <c r="F45" s="1214"/>
    </row>
    <row r="46" spans="1:9">
      <c r="F46" s="1214"/>
      <c r="G46" s="1214"/>
      <c r="I46" s="1214"/>
    </row>
    <row r="47" spans="1:9">
      <c r="F47" s="1214"/>
      <c r="G47" s="1214"/>
      <c r="I47" s="1214"/>
    </row>
    <row r="48" spans="1:9">
      <c r="F48" s="1214"/>
      <c r="G48" s="1214"/>
      <c r="I48" s="1214"/>
    </row>
    <row r="49" spans="2:9">
      <c r="F49" s="1214"/>
      <c r="G49" s="1214"/>
      <c r="I49" s="1214"/>
    </row>
    <row r="50" spans="2:9">
      <c r="F50" s="1214"/>
      <c r="G50" s="1214"/>
      <c r="I50" s="1214"/>
    </row>
    <row r="51" spans="2:9">
      <c r="F51" s="1214"/>
      <c r="G51" s="1214"/>
      <c r="I51" s="1214"/>
    </row>
    <row r="52" spans="2:9">
      <c r="F52" s="1214"/>
      <c r="G52" s="1214"/>
      <c r="I52" s="1214"/>
    </row>
    <row r="53" spans="2:9">
      <c r="B53" s="1367"/>
      <c r="F53" s="1214"/>
      <c r="G53" s="1214"/>
      <c r="I53" s="1214"/>
    </row>
    <row r="54" spans="2:9">
      <c r="B54" s="1367"/>
    </row>
    <row r="55" spans="2:9">
      <c r="B55" s="1367"/>
    </row>
    <row r="525" spans="17:17">
      <c r="Q525" s="1194">
        <f>P525-O525</f>
        <v>0</v>
      </c>
    </row>
  </sheetData>
  <sheetProtection algorithmName="SHA-512" hashValue="D9L7sWEFwpXL8KN3VPQ9agTHm8ZuDv84jRhHHA2/hwdggIFprWRs4AHxt5S0PKHlwLQa4aYIQpyL1WpLwFI3ew==" saltValue="0u7bjk+KF5ZZMcuK85f9ug==" spinCount="100000" sheet="1" objects="1" scenarios="1"/>
  <mergeCells count="19">
    <mergeCell ref="A43:D43"/>
    <mergeCell ref="A44:E44"/>
    <mergeCell ref="D6:D15"/>
    <mergeCell ref="A27:D27"/>
    <mergeCell ref="A28:D28"/>
    <mergeCell ref="A30:F30"/>
    <mergeCell ref="C32:C42"/>
    <mergeCell ref="D32:D42"/>
    <mergeCell ref="E32:E42"/>
    <mergeCell ref="A25:D25"/>
    <mergeCell ref="A1:B1"/>
    <mergeCell ref="C1:F1"/>
    <mergeCell ref="A2:F2"/>
    <mergeCell ref="A4:F4"/>
    <mergeCell ref="C6:C24"/>
    <mergeCell ref="E6:E24"/>
    <mergeCell ref="A16:B16"/>
    <mergeCell ref="D17:D18"/>
    <mergeCell ref="A19:B1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DB6D-663C-42C3-8DF8-BB4CC755BC4C}">
  <sheetPr>
    <tabColor rgb="FF99FF33"/>
  </sheetPr>
  <dimension ref="A1:Q546"/>
  <sheetViews>
    <sheetView view="pageBreakPreview" topLeftCell="A58" zoomScaleNormal="100" zoomScaleSheetLayoutView="100" workbookViewId="0">
      <selection activeCell="K60" sqref="K60"/>
    </sheetView>
  </sheetViews>
  <sheetFormatPr defaultRowHeight="12.75"/>
  <cols>
    <col min="1" max="1" width="6.28515625" style="1195" customWidth="1"/>
    <col min="2" max="2" width="20.5703125" style="1195" customWidth="1"/>
    <col min="3" max="3" width="9.140625" style="1195"/>
    <col min="4" max="4" width="10.28515625" style="1195" customWidth="1"/>
    <col min="5" max="5" width="13.7109375" style="1198" customWidth="1"/>
    <col min="6" max="6" width="12.28515625" style="1195" customWidth="1"/>
    <col min="7" max="8" width="13.7109375" style="1195" customWidth="1"/>
    <col min="9" max="9" width="66.42578125" style="1195" customWidth="1"/>
    <col min="10" max="10" width="20.28515625" style="1195" customWidth="1"/>
    <col min="11" max="11" width="16.140625" style="1195" customWidth="1"/>
    <col min="12" max="256" width="9.140625" style="1195"/>
    <col min="257" max="257" width="6.28515625" style="1195" customWidth="1"/>
    <col min="258" max="258" width="34.42578125" style="1195" customWidth="1"/>
    <col min="259" max="259" width="9.140625" style="1195"/>
    <col min="260" max="260" width="10.28515625" style="1195" customWidth="1"/>
    <col min="261" max="262" width="12.7109375" style="1195" customWidth="1"/>
    <col min="263" max="263" width="11.85546875" style="1195" customWidth="1"/>
    <col min="264" max="264" width="15.140625" style="1195" customWidth="1"/>
    <col min="265" max="265" width="49" style="1195" customWidth="1"/>
    <col min="266" max="512" width="9.140625" style="1195"/>
    <col min="513" max="513" width="6.28515625" style="1195" customWidth="1"/>
    <col min="514" max="514" width="34.42578125" style="1195" customWidth="1"/>
    <col min="515" max="515" width="9.140625" style="1195"/>
    <col min="516" max="516" width="10.28515625" style="1195" customWidth="1"/>
    <col min="517" max="518" width="12.7109375" style="1195" customWidth="1"/>
    <col min="519" max="519" width="11.85546875" style="1195" customWidth="1"/>
    <col min="520" max="520" width="15.140625" style="1195" customWidth="1"/>
    <col min="521" max="521" width="49" style="1195" customWidth="1"/>
    <col min="522" max="768" width="9.140625" style="1195"/>
    <col min="769" max="769" width="6.28515625" style="1195" customWidth="1"/>
    <col min="770" max="770" width="34.42578125" style="1195" customWidth="1"/>
    <col min="771" max="771" width="9.140625" style="1195"/>
    <col min="772" max="772" width="10.28515625" style="1195" customWidth="1"/>
    <col min="773" max="774" width="12.7109375" style="1195" customWidth="1"/>
    <col min="775" max="775" width="11.85546875" style="1195" customWidth="1"/>
    <col min="776" max="776" width="15.140625" style="1195" customWidth="1"/>
    <col min="777" max="777" width="49" style="1195" customWidth="1"/>
    <col min="778" max="1024" width="9.140625" style="1195"/>
    <col min="1025" max="1025" width="6.28515625" style="1195" customWidth="1"/>
    <col min="1026" max="1026" width="34.42578125" style="1195" customWidth="1"/>
    <col min="1027" max="1027" width="9.140625" style="1195"/>
    <col min="1028" max="1028" width="10.28515625" style="1195" customWidth="1"/>
    <col min="1029" max="1030" width="12.7109375" style="1195" customWidth="1"/>
    <col min="1031" max="1031" width="11.85546875" style="1195" customWidth="1"/>
    <col min="1032" max="1032" width="15.140625" style="1195" customWidth="1"/>
    <col min="1033" max="1033" width="49" style="1195" customWidth="1"/>
    <col min="1034" max="1280" width="9.140625" style="1195"/>
    <col min="1281" max="1281" width="6.28515625" style="1195" customWidth="1"/>
    <col min="1282" max="1282" width="34.42578125" style="1195" customWidth="1"/>
    <col min="1283" max="1283" width="9.140625" style="1195"/>
    <col min="1284" max="1284" width="10.28515625" style="1195" customWidth="1"/>
    <col min="1285" max="1286" width="12.7109375" style="1195" customWidth="1"/>
    <col min="1287" max="1287" width="11.85546875" style="1195" customWidth="1"/>
    <col min="1288" max="1288" width="15.140625" style="1195" customWidth="1"/>
    <col min="1289" max="1289" width="49" style="1195" customWidth="1"/>
    <col min="1290" max="1536" width="9.140625" style="1195"/>
    <col min="1537" max="1537" width="6.28515625" style="1195" customWidth="1"/>
    <col min="1538" max="1538" width="34.42578125" style="1195" customWidth="1"/>
    <col min="1539" max="1539" width="9.140625" style="1195"/>
    <col min="1540" max="1540" width="10.28515625" style="1195" customWidth="1"/>
    <col min="1541" max="1542" width="12.7109375" style="1195" customWidth="1"/>
    <col min="1543" max="1543" width="11.85546875" style="1195" customWidth="1"/>
    <col min="1544" max="1544" width="15.140625" style="1195" customWidth="1"/>
    <col min="1545" max="1545" width="49" style="1195" customWidth="1"/>
    <col min="1546" max="1792" width="9.140625" style="1195"/>
    <col min="1793" max="1793" width="6.28515625" style="1195" customWidth="1"/>
    <col min="1794" max="1794" width="34.42578125" style="1195" customWidth="1"/>
    <col min="1795" max="1795" width="9.140625" style="1195"/>
    <col min="1796" max="1796" width="10.28515625" style="1195" customWidth="1"/>
    <col min="1797" max="1798" width="12.7109375" style="1195" customWidth="1"/>
    <col min="1799" max="1799" width="11.85546875" style="1195" customWidth="1"/>
    <col min="1800" max="1800" width="15.140625" style="1195" customWidth="1"/>
    <col min="1801" max="1801" width="49" style="1195" customWidth="1"/>
    <col min="1802" max="2048" width="9.140625" style="1195"/>
    <col min="2049" max="2049" width="6.28515625" style="1195" customWidth="1"/>
    <col min="2050" max="2050" width="34.42578125" style="1195" customWidth="1"/>
    <col min="2051" max="2051" width="9.140625" style="1195"/>
    <col min="2052" max="2052" width="10.28515625" style="1195" customWidth="1"/>
    <col min="2053" max="2054" width="12.7109375" style="1195" customWidth="1"/>
    <col min="2055" max="2055" width="11.85546875" style="1195" customWidth="1"/>
    <col min="2056" max="2056" width="15.140625" style="1195" customWidth="1"/>
    <col min="2057" max="2057" width="49" style="1195" customWidth="1"/>
    <col min="2058" max="2304" width="9.140625" style="1195"/>
    <col min="2305" max="2305" width="6.28515625" style="1195" customWidth="1"/>
    <col min="2306" max="2306" width="34.42578125" style="1195" customWidth="1"/>
    <col min="2307" max="2307" width="9.140625" style="1195"/>
    <col min="2308" max="2308" width="10.28515625" style="1195" customWidth="1"/>
    <col min="2309" max="2310" width="12.7109375" style="1195" customWidth="1"/>
    <col min="2311" max="2311" width="11.85546875" style="1195" customWidth="1"/>
    <col min="2312" max="2312" width="15.140625" style="1195" customWidth="1"/>
    <col min="2313" max="2313" width="49" style="1195" customWidth="1"/>
    <col min="2314" max="2560" width="9.140625" style="1195"/>
    <col min="2561" max="2561" width="6.28515625" style="1195" customWidth="1"/>
    <col min="2562" max="2562" width="34.42578125" style="1195" customWidth="1"/>
    <col min="2563" max="2563" width="9.140625" style="1195"/>
    <col min="2564" max="2564" width="10.28515625" style="1195" customWidth="1"/>
    <col min="2565" max="2566" width="12.7109375" style="1195" customWidth="1"/>
    <col min="2567" max="2567" width="11.85546875" style="1195" customWidth="1"/>
    <col min="2568" max="2568" width="15.140625" style="1195" customWidth="1"/>
    <col min="2569" max="2569" width="49" style="1195" customWidth="1"/>
    <col min="2570" max="2816" width="9.140625" style="1195"/>
    <col min="2817" max="2817" width="6.28515625" style="1195" customWidth="1"/>
    <col min="2818" max="2818" width="34.42578125" style="1195" customWidth="1"/>
    <col min="2819" max="2819" width="9.140625" style="1195"/>
    <col min="2820" max="2820" width="10.28515625" style="1195" customWidth="1"/>
    <col min="2821" max="2822" width="12.7109375" style="1195" customWidth="1"/>
    <col min="2823" max="2823" width="11.85546875" style="1195" customWidth="1"/>
    <col min="2824" max="2824" width="15.140625" style="1195" customWidth="1"/>
    <col min="2825" max="2825" width="49" style="1195" customWidth="1"/>
    <col min="2826" max="3072" width="9.140625" style="1195"/>
    <col min="3073" max="3073" width="6.28515625" style="1195" customWidth="1"/>
    <col min="3074" max="3074" width="34.42578125" style="1195" customWidth="1"/>
    <col min="3075" max="3075" width="9.140625" style="1195"/>
    <col min="3076" max="3076" width="10.28515625" style="1195" customWidth="1"/>
    <col min="3077" max="3078" width="12.7109375" style="1195" customWidth="1"/>
    <col min="3079" max="3079" width="11.85546875" style="1195" customWidth="1"/>
    <col min="3080" max="3080" width="15.140625" style="1195" customWidth="1"/>
    <col min="3081" max="3081" width="49" style="1195" customWidth="1"/>
    <col min="3082" max="3328" width="9.140625" style="1195"/>
    <col min="3329" max="3329" width="6.28515625" style="1195" customWidth="1"/>
    <col min="3330" max="3330" width="34.42578125" style="1195" customWidth="1"/>
    <col min="3331" max="3331" width="9.140625" style="1195"/>
    <col min="3332" max="3332" width="10.28515625" style="1195" customWidth="1"/>
    <col min="3333" max="3334" width="12.7109375" style="1195" customWidth="1"/>
    <col min="3335" max="3335" width="11.85546875" style="1195" customWidth="1"/>
    <col min="3336" max="3336" width="15.140625" style="1195" customWidth="1"/>
    <col min="3337" max="3337" width="49" style="1195" customWidth="1"/>
    <col min="3338" max="3584" width="9.140625" style="1195"/>
    <col min="3585" max="3585" width="6.28515625" style="1195" customWidth="1"/>
    <col min="3586" max="3586" width="34.42578125" style="1195" customWidth="1"/>
    <col min="3587" max="3587" width="9.140625" style="1195"/>
    <col min="3588" max="3588" width="10.28515625" style="1195" customWidth="1"/>
    <col min="3589" max="3590" width="12.7109375" style="1195" customWidth="1"/>
    <col min="3591" max="3591" width="11.85546875" style="1195" customWidth="1"/>
    <col min="3592" max="3592" width="15.140625" style="1195" customWidth="1"/>
    <col min="3593" max="3593" width="49" style="1195" customWidth="1"/>
    <col min="3594" max="3840" width="9.140625" style="1195"/>
    <col min="3841" max="3841" width="6.28515625" style="1195" customWidth="1"/>
    <col min="3842" max="3842" width="34.42578125" style="1195" customWidth="1"/>
    <col min="3843" max="3843" width="9.140625" style="1195"/>
    <col min="3844" max="3844" width="10.28515625" style="1195" customWidth="1"/>
    <col min="3845" max="3846" width="12.7109375" style="1195" customWidth="1"/>
    <col min="3847" max="3847" width="11.85546875" style="1195" customWidth="1"/>
    <col min="3848" max="3848" width="15.140625" style="1195" customWidth="1"/>
    <col min="3849" max="3849" width="49" style="1195" customWidth="1"/>
    <col min="3850" max="4096" width="9.140625" style="1195"/>
    <col min="4097" max="4097" width="6.28515625" style="1195" customWidth="1"/>
    <col min="4098" max="4098" width="34.42578125" style="1195" customWidth="1"/>
    <col min="4099" max="4099" width="9.140625" style="1195"/>
    <col min="4100" max="4100" width="10.28515625" style="1195" customWidth="1"/>
    <col min="4101" max="4102" width="12.7109375" style="1195" customWidth="1"/>
    <col min="4103" max="4103" width="11.85546875" style="1195" customWidth="1"/>
    <col min="4104" max="4104" width="15.140625" style="1195" customWidth="1"/>
    <col min="4105" max="4105" width="49" style="1195" customWidth="1"/>
    <col min="4106" max="4352" width="9.140625" style="1195"/>
    <col min="4353" max="4353" width="6.28515625" style="1195" customWidth="1"/>
    <col min="4354" max="4354" width="34.42578125" style="1195" customWidth="1"/>
    <col min="4355" max="4355" width="9.140625" style="1195"/>
    <col min="4356" max="4356" width="10.28515625" style="1195" customWidth="1"/>
    <col min="4357" max="4358" width="12.7109375" style="1195" customWidth="1"/>
    <col min="4359" max="4359" width="11.85546875" style="1195" customWidth="1"/>
    <col min="4360" max="4360" width="15.140625" style="1195" customWidth="1"/>
    <col min="4361" max="4361" width="49" style="1195" customWidth="1"/>
    <col min="4362" max="4608" width="9.140625" style="1195"/>
    <col min="4609" max="4609" width="6.28515625" style="1195" customWidth="1"/>
    <col min="4610" max="4610" width="34.42578125" style="1195" customWidth="1"/>
    <col min="4611" max="4611" width="9.140625" style="1195"/>
    <col min="4612" max="4612" width="10.28515625" style="1195" customWidth="1"/>
    <col min="4613" max="4614" width="12.7109375" style="1195" customWidth="1"/>
    <col min="4615" max="4615" width="11.85546875" style="1195" customWidth="1"/>
    <col min="4616" max="4616" width="15.140625" style="1195" customWidth="1"/>
    <col min="4617" max="4617" width="49" style="1195" customWidth="1"/>
    <col min="4618" max="4864" width="9.140625" style="1195"/>
    <col min="4865" max="4865" width="6.28515625" style="1195" customWidth="1"/>
    <col min="4866" max="4866" width="34.42578125" style="1195" customWidth="1"/>
    <col min="4867" max="4867" width="9.140625" style="1195"/>
    <col min="4868" max="4868" width="10.28515625" style="1195" customWidth="1"/>
    <col min="4869" max="4870" width="12.7109375" style="1195" customWidth="1"/>
    <col min="4871" max="4871" width="11.85546875" style="1195" customWidth="1"/>
    <col min="4872" max="4872" width="15.140625" style="1195" customWidth="1"/>
    <col min="4873" max="4873" width="49" style="1195" customWidth="1"/>
    <col min="4874" max="5120" width="9.140625" style="1195"/>
    <col min="5121" max="5121" width="6.28515625" style="1195" customWidth="1"/>
    <col min="5122" max="5122" width="34.42578125" style="1195" customWidth="1"/>
    <col min="5123" max="5123" width="9.140625" style="1195"/>
    <col min="5124" max="5124" width="10.28515625" style="1195" customWidth="1"/>
    <col min="5125" max="5126" width="12.7109375" style="1195" customWidth="1"/>
    <col min="5127" max="5127" width="11.85546875" style="1195" customWidth="1"/>
    <col min="5128" max="5128" width="15.140625" style="1195" customWidth="1"/>
    <col min="5129" max="5129" width="49" style="1195" customWidth="1"/>
    <col min="5130" max="5376" width="9.140625" style="1195"/>
    <col min="5377" max="5377" width="6.28515625" style="1195" customWidth="1"/>
    <col min="5378" max="5378" width="34.42578125" style="1195" customWidth="1"/>
    <col min="5379" max="5379" width="9.140625" style="1195"/>
    <col min="5380" max="5380" width="10.28515625" style="1195" customWidth="1"/>
    <col min="5381" max="5382" width="12.7109375" style="1195" customWidth="1"/>
    <col min="5383" max="5383" width="11.85546875" style="1195" customWidth="1"/>
    <col min="5384" max="5384" width="15.140625" style="1195" customWidth="1"/>
    <col min="5385" max="5385" width="49" style="1195" customWidth="1"/>
    <col min="5386" max="5632" width="9.140625" style="1195"/>
    <col min="5633" max="5633" width="6.28515625" style="1195" customWidth="1"/>
    <col min="5634" max="5634" width="34.42578125" style="1195" customWidth="1"/>
    <col min="5635" max="5635" width="9.140625" style="1195"/>
    <col min="5636" max="5636" width="10.28515625" style="1195" customWidth="1"/>
    <col min="5637" max="5638" width="12.7109375" style="1195" customWidth="1"/>
    <col min="5639" max="5639" width="11.85546875" style="1195" customWidth="1"/>
    <col min="5640" max="5640" width="15.140625" style="1195" customWidth="1"/>
    <col min="5641" max="5641" width="49" style="1195" customWidth="1"/>
    <col min="5642" max="5888" width="9.140625" style="1195"/>
    <col min="5889" max="5889" width="6.28515625" style="1195" customWidth="1"/>
    <col min="5890" max="5890" width="34.42578125" style="1195" customWidth="1"/>
    <col min="5891" max="5891" width="9.140625" style="1195"/>
    <col min="5892" max="5892" width="10.28515625" style="1195" customWidth="1"/>
    <col min="5893" max="5894" width="12.7109375" style="1195" customWidth="1"/>
    <col min="5895" max="5895" width="11.85546875" style="1195" customWidth="1"/>
    <col min="5896" max="5896" width="15.140625" style="1195" customWidth="1"/>
    <col min="5897" max="5897" width="49" style="1195" customWidth="1"/>
    <col min="5898" max="6144" width="9.140625" style="1195"/>
    <col min="6145" max="6145" width="6.28515625" style="1195" customWidth="1"/>
    <col min="6146" max="6146" width="34.42578125" style="1195" customWidth="1"/>
    <col min="6147" max="6147" width="9.140625" style="1195"/>
    <col min="6148" max="6148" width="10.28515625" style="1195" customWidth="1"/>
    <col min="6149" max="6150" width="12.7109375" style="1195" customWidth="1"/>
    <col min="6151" max="6151" width="11.85546875" style="1195" customWidth="1"/>
    <col min="6152" max="6152" width="15.140625" style="1195" customWidth="1"/>
    <col min="6153" max="6153" width="49" style="1195" customWidth="1"/>
    <col min="6154" max="6400" width="9.140625" style="1195"/>
    <col min="6401" max="6401" width="6.28515625" style="1195" customWidth="1"/>
    <col min="6402" max="6402" width="34.42578125" style="1195" customWidth="1"/>
    <col min="6403" max="6403" width="9.140625" style="1195"/>
    <col min="6404" max="6404" width="10.28515625" style="1195" customWidth="1"/>
    <col min="6405" max="6406" width="12.7109375" style="1195" customWidth="1"/>
    <col min="6407" max="6407" width="11.85546875" style="1195" customWidth="1"/>
    <col min="6408" max="6408" width="15.140625" style="1195" customWidth="1"/>
    <col min="6409" max="6409" width="49" style="1195" customWidth="1"/>
    <col min="6410" max="6656" width="9.140625" style="1195"/>
    <col min="6657" max="6657" width="6.28515625" style="1195" customWidth="1"/>
    <col min="6658" max="6658" width="34.42578125" style="1195" customWidth="1"/>
    <col min="6659" max="6659" width="9.140625" style="1195"/>
    <col min="6660" max="6660" width="10.28515625" style="1195" customWidth="1"/>
    <col min="6661" max="6662" width="12.7109375" style="1195" customWidth="1"/>
    <col min="6663" max="6663" width="11.85546875" style="1195" customWidth="1"/>
    <col min="6664" max="6664" width="15.140625" style="1195" customWidth="1"/>
    <col min="6665" max="6665" width="49" style="1195" customWidth="1"/>
    <col min="6666" max="6912" width="9.140625" style="1195"/>
    <col min="6913" max="6913" width="6.28515625" style="1195" customWidth="1"/>
    <col min="6914" max="6914" width="34.42578125" style="1195" customWidth="1"/>
    <col min="6915" max="6915" width="9.140625" style="1195"/>
    <col min="6916" max="6916" width="10.28515625" style="1195" customWidth="1"/>
    <col min="6917" max="6918" width="12.7109375" style="1195" customWidth="1"/>
    <col min="6919" max="6919" width="11.85546875" style="1195" customWidth="1"/>
    <col min="6920" max="6920" width="15.140625" style="1195" customWidth="1"/>
    <col min="6921" max="6921" width="49" style="1195" customWidth="1"/>
    <col min="6922" max="7168" width="9.140625" style="1195"/>
    <col min="7169" max="7169" width="6.28515625" style="1195" customWidth="1"/>
    <col min="7170" max="7170" width="34.42578125" style="1195" customWidth="1"/>
    <col min="7171" max="7171" width="9.140625" style="1195"/>
    <col min="7172" max="7172" width="10.28515625" style="1195" customWidth="1"/>
    <col min="7173" max="7174" width="12.7109375" style="1195" customWidth="1"/>
    <col min="7175" max="7175" width="11.85546875" style="1195" customWidth="1"/>
    <col min="7176" max="7176" width="15.140625" style="1195" customWidth="1"/>
    <col min="7177" max="7177" width="49" style="1195" customWidth="1"/>
    <col min="7178" max="7424" width="9.140625" style="1195"/>
    <col min="7425" max="7425" width="6.28515625" style="1195" customWidth="1"/>
    <col min="7426" max="7426" width="34.42578125" style="1195" customWidth="1"/>
    <col min="7427" max="7427" width="9.140625" style="1195"/>
    <col min="7428" max="7428" width="10.28515625" style="1195" customWidth="1"/>
    <col min="7429" max="7430" width="12.7109375" style="1195" customWidth="1"/>
    <col min="7431" max="7431" width="11.85546875" style="1195" customWidth="1"/>
    <col min="7432" max="7432" width="15.140625" style="1195" customWidth="1"/>
    <col min="7433" max="7433" width="49" style="1195" customWidth="1"/>
    <col min="7434" max="7680" width="9.140625" style="1195"/>
    <col min="7681" max="7681" width="6.28515625" style="1195" customWidth="1"/>
    <col min="7682" max="7682" width="34.42578125" style="1195" customWidth="1"/>
    <col min="7683" max="7683" width="9.140625" style="1195"/>
    <col min="7684" max="7684" width="10.28515625" style="1195" customWidth="1"/>
    <col min="7685" max="7686" width="12.7109375" style="1195" customWidth="1"/>
    <col min="7687" max="7687" width="11.85546875" style="1195" customWidth="1"/>
    <col min="7688" max="7688" width="15.140625" style="1195" customWidth="1"/>
    <col min="7689" max="7689" width="49" style="1195" customWidth="1"/>
    <col min="7690" max="7936" width="9.140625" style="1195"/>
    <col min="7937" max="7937" width="6.28515625" style="1195" customWidth="1"/>
    <col min="7938" max="7938" width="34.42578125" style="1195" customWidth="1"/>
    <col min="7939" max="7939" width="9.140625" style="1195"/>
    <col min="7940" max="7940" width="10.28515625" style="1195" customWidth="1"/>
    <col min="7941" max="7942" width="12.7109375" style="1195" customWidth="1"/>
    <col min="7943" max="7943" width="11.85546875" style="1195" customWidth="1"/>
    <col min="7944" max="7944" width="15.140625" style="1195" customWidth="1"/>
    <col min="7945" max="7945" width="49" style="1195" customWidth="1"/>
    <col min="7946" max="8192" width="9.140625" style="1195"/>
    <col min="8193" max="8193" width="6.28515625" style="1195" customWidth="1"/>
    <col min="8194" max="8194" width="34.42578125" style="1195" customWidth="1"/>
    <col min="8195" max="8195" width="9.140625" style="1195"/>
    <col min="8196" max="8196" width="10.28515625" style="1195" customWidth="1"/>
    <col min="8197" max="8198" width="12.7109375" style="1195" customWidth="1"/>
    <col min="8199" max="8199" width="11.85546875" style="1195" customWidth="1"/>
    <col min="8200" max="8200" width="15.140625" style="1195" customWidth="1"/>
    <col min="8201" max="8201" width="49" style="1195" customWidth="1"/>
    <col min="8202" max="8448" width="9.140625" style="1195"/>
    <col min="8449" max="8449" width="6.28515625" style="1195" customWidth="1"/>
    <col min="8450" max="8450" width="34.42578125" style="1195" customWidth="1"/>
    <col min="8451" max="8451" width="9.140625" style="1195"/>
    <col min="8452" max="8452" width="10.28515625" style="1195" customWidth="1"/>
    <col min="8453" max="8454" width="12.7109375" style="1195" customWidth="1"/>
    <col min="8455" max="8455" width="11.85546875" style="1195" customWidth="1"/>
    <col min="8456" max="8456" width="15.140625" style="1195" customWidth="1"/>
    <col min="8457" max="8457" width="49" style="1195" customWidth="1"/>
    <col min="8458" max="8704" width="9.140625" style="1195"/>
    <col min="8705" max="8705" width="6.28515625" style="1195" customWidth="1"/>
    <col min="8706" max="8706" width="34.42578125" style="1195" customWidth="1"/>
    <col min="8707" max="8707" width="9.140625" style="1195"/>
    <col min="8708" max="8708" width="10.28515625" style="1195" customWidth="1"/>
    <col min="8709" max="8710" width="12.7109375" style="1195" customWidth="1"/>
    <col min="8711" max="8711" width="11.85546875" style="1195" customWidth="1"/>
    <col min="8712" max="8712" width="15.140625" style="1195" customWidth="1"/>
    <col min="8713" max="8713" width="49" style="1195" customWidth="1"/>
    <col min="8714" max="8960" width="9.140625" style="1195"/>
    <col min="8961" max="8961" width="6.28515625" style="1195" customWidth="1"/>
    <col min="8962" max="8962" width="34.42578125" style="1195" customWidth="1"/>
    <col min="8963" max="8963" width="9.140625" style="1195"/>
    <col min="8964" max="8964" width="10.28515625" style="1195" customWidth="1"/>
    <col min="8965" max="8966" width="12.7109375" style="1195" customWidth="1"/>
    <col min="8967" max="8967" width="11.85546875" style="1195" customWidth="1"/>
    <col min="8968" max="8968" width="15.140625" style="1195" customWidth="1"/>
    <col min="8969" max="8969" width="49" style="1195" customWidth="1"/>
    <col min="8970" max="9216" width="9.140625" style="1195"/>
    <col min="9217" max="9217" width="6.28515625" style="1195" customWidth="1"/>
    <col min="9218" max="9218" width="34.42578125" style="1195" customWidth="1"/>
    <col min="9219" max="9219" width="9.140625" style="1195"/>
    <col min="9220" max="9220" width="10.28515625" style="1195" customWidth="1"/>
    <col min="9221" max="9222" width="12.7109375" style="1195" customWidth="1"/>
    <col min="9223" max="9223" width="11.85546875" style="1195" customWidth="1"/>
    <col min="9224" max="9224" width="15.140625" style="1195" customWidth="1"/>
    <col min="9225" max="9225" width="49" style="1195" customWidth="1"/>
    <col min="9226" max="9472" width="9.140625" style="1195"/>
    <col min="9473" max="9473" width="6.28515625" style="1195" customWidth="1"/>
    <col min="9474" max="9474" width="34.42578125" style="1195" customWidth="1"/>
    <col min="9475" max="9475" width="9.140625" style="1195"/>
    <col min="9476" max="9476" width="10.28515625" style="1195" customWidth="1"/>
    <col min="9477" max="9478" width="12.7109375" style="1195" customWidth="1"/>
    <col min="9479" max="9479" width="11.85546875" style="1195" customWidth="1"/>
    <col min="9480" max="9480" width="15.140625" style="1195" customWidth="1"/>
    <col min="9481" max="9481" width="49" style="1195" customWidth="1"/>
    <col min="9482" max="9728" width="9.140625" style="1195"/>
    <col min="9729" max="9729" width="6.28515625" style="1195" customWidth="1"/>
    <col min="9730" max="9730" width="34.42578125" style="1195" customWidth="1"/>
    <col min="9731" max="9731" width="9.140625" style="1195"/>
    <col min="9732" max="9732" width="10.28515625" style="1195" customWidth="1"/>
    <col min="9733" max="9734" width="12.7109375" style="1195" customWidth="1"/>
    <col min="9735" max="9735" width="11.85546875" style="1195" customWidth="1"/>
    <col min="9736" max="9736" width="15.140625" style="1195" customWidth="1"/>
    <col min="9737" max="9737" width="49" style="1195" customWidth="1"/>
    <col min="9738" max="9984" width="9.140625" style="1195"/>
    <col min="9985" max="9985" width="6.28515625" style="1195" customWidth="1"/>
    <col min="9986" max="9986" width="34.42578125" style="1195" customWidth="1"/>
    <col min="9987" max="9987" width="9.140625" style="1195"/>
    <col min="9988" max="9988" width="10.28515625" style="1195" customWidth="1"/>
    <col min="9989" max="9990" width="12.7109375" style="1195" customWidth="1"/>
    <col min="9991" max="9991" width="11.85546875" style="1195" customWidth="1"/>
    <col min="9992" max="9992" width="15.140625" style="1195" customWidth="1"/>
    <col min="9993" max="9993" width="49" style="1195" customWidth="1"/>
    <col min="9994" max="10240" width="9.140625" style="1195"/>
    <col min="10241" max="10241" width="6.28515625" style="1195" customWidth="1"/>
    <col min="10242" max="10242" width="34.42578125" style="1195" customWidth="1"/>
    <col min="10243" max="10243" width="9.140625" style="1195"/>
    <col min="10244" max="10244" width="10.28515625" style="1195" customWidth="1"/>
    <col min="10245" max="10246" width="12.7109375" style="1195" customWidth="1"/>
    <col min="10247" max="10247" width="11.85546875" style="1195" customWidth="1"/>
    <col min="10248" max="10248" width="15.140625" style="1195" customWidth="1"/>
    <col min="10249" max="10249" width="49" style="1195" customWidth="1"/>
    <col min="10250" max="10496" width="9.140625" style="1195"/>
    <col min="10497" max="10497" width="6.28515625" style="1195" customWidth="1"/>
    <col min="10498" max="10498" width="34.42578125" style="1195" customWidth="1"/>
    <col min="10499" max="10499" width="9.140625" style="1195"/>
    <col min="10500" max="10500" width="10.28515625" style="1195" customWidth="1"/>
    <col min="10501" max="10502" width="12.7109375" style="1195" customWidth="1"/>
    <col min="10503" max="10503" width="11.85546875" style="1195" customWidth="1"/>
    <col min="10504" max="10504" width="15.140625" style="1195" customWidth="1"/>
    <col min="10505" max="10505" width="49" style="1195" customWidth="1"/>
    <col min="10506" max="10752" width="9.140625" style="1195"/>
    <col min="10753" max="10753" width="6.28515625" style="1195" customWidth="1"/>
    <col min="10754" max="10754" width="34.42578125" style="1195" customWidth="1"/>
    <col min="10755" max="10755" width="9.140625" style="1195"/>
    <col min="10756" max="10756" width="10.28515625" style="1195" customWidth="1"/>
    <col min="10757" max="10758" width="12.7109375" style="1195" customWidth="1"/>
    <col min="10759" max="10759" width="11.85546875" style="1195" customWidth="1"/>
    <col min="10760" max="10760" width="15.140625" style="1195" customWidth="1"/>
    <col min="10761" max="10761" width="49" style="1195" customWidth="1"/>
    <col min="10762" max="11008" width="9.140625" style="1195"/>
    <col min="11009" max="11009" width="6.28515625" style="1195" customWidth="1"/>
    <col min="11010" max="11010" width="34.42578125" style="1195" customWidth="1"/>
    <col min="11011" max="11011" width="9.140625" style="1195"/>
    <col min="11012" max="11012" width="10.28515625" style="1195" customWidth="1"/>
    <col min="11013" max="11014" width="12.7109375" style="1195" customWidth="1"/>
    <col min="11015" max="11015" width="11.85546875" style="1195" customWidth="1"/>
    <col min="11016" max="11016" width="15.140625" style="1195" customWidth="1"/>
    <col min="11017" max="11017" width="49" style="1195" customWidth="1"/>
    <col min="11018" max="11264" width="9.140625" style="1195"/>
    <col min="11265" max="11265" width="6.28515625" style="1195" customWidth="1"/>
    <col min="11266" max="11266" width="34.42578125" style="1195" customWidth="1"/>
    <col min="11267" max="11267" width="9.140625" style="1195"/>
    <col min="11268" max="11268" width="10.28515625" style="1195" customWidth="1"/>
    <col min="11269" max="11270" width="12.7109375" style="1195" customWidth="1"/>
    <col min="11271" max="11271" width="11.85546875" style="1195" customWidth="1"/>
    <col min="11272" max="11272" width="15.140625" style="1195" customWidth="1"/>
    <col min="11273" max="11273" width="49" style="1195" customWidth="1"/>
    <col min="11274" max="11520" width="9.140625" style="1195"/>
    <col min="11521" max="11521" width="6.28515625" style="1195" customWidth="1"/>
    <col min="11522" max="11522" width="34.42578125" style="1195" customWidth="1"/>
    <col min="11523" max="11523" width="9.140625" style="1195"/>
    <col min="11524" max="11524" width="10.28515625" style="1195" customWidth="1"/>
    <col min="11525" max="11526" width="12.7109375" style="1195" customWidth="1"/>
    <col min="11527" max="11527" width="11.85546875" style="1195" customWidth="1"/>
    <col min="11528" max="11528" width="15.140625" style="1195" customWidth="1"/>
    <col min="11529" max="11529" width="49" style="1195" customWidth="1"/>
    <col min="11530" max="11776" width="9.140625" style="1195"/>
    <col min="11777" max="11777" width="6.28515625" style="1195" customWidth="1"/>
    <col min="11778" max="11778" width="34.42578125" style="1195" customWidth="1"/>
    <col min="11779" max="11779" width="9.140625" style="1195"/>
    <col min="11780" max="11780" width="10.28515625" style="1195" customWidth="1"/>
    <col min="11781" max="11782" width="12.7109375" style="1195" customWidth="1"/>
    <col min="11783" max="11783" width="11.85546875" style="1195" customWidth="1"/>
    <col min="11784" max="11784" width="15.140625" style="1195" customWidth="1"/>
    <col min="11785" max="11785" width="49" style="1195" customWidth="1"/>
    <col min="11786" max="12032" width="9.140625" style="1195"/>
    <col min="12033" max="12033" width="6.28515625" style="1195" customWidth="1"/>
    <col min="12034" max="12034" width="34.42578125" style="1195" customWidth="1"/>
    <col min="12035" max="12035" width="9.140625" style="1195"/>
    <col min="12036" max="12036" width="10.28515625" style="1195" customWidth="1"/>
    <col min="12037" max="12038" width="12.7109375" style="1195" customWidth="1"/>
    <col min="12039" max="12039" width="11.85546875" style="1195" customWidth="1"/>
    <col min="12040" max="12040" width="15.140625" style="1195" customWidth="1"/>
    <col min="12041" max="12041" width="49" style="1195" customWidth="1"/>
    <col min="12042" max="12288" width="9.140625" style="1195"/>
    <col min="12289" max="12289" width="6.28515625" style="1195" customWidth="1"/>
    <col min="12290" max="12290" width="34.42578125" style="1195" customWidth="1"/>
    <col min="12291" max="12291" width="9.140625" style="1195"/>
    <col min="12292" max="12292" width="10.28515625" style="1195" customWidth="1"/>
    <col min="12293" max="12294" width="12.7109375" style="1195" customWidth="1"/>
    <col min="12295" max="12295" width="11.85546875" style="1195" customWidth="1"/>
    <col min="12296" max="12296" width="15.140625" style="1195" customWidth="1"/>
    <col min="12297" max="12297" width="49" style="1195" customWidth="1"/>
    <col min="12298" max="12544" width="9.140625" style="1195"/>
    <col min="12545" max="12545" width="6.28515625" style="1195" customWidth="1"/>
    <col min="12546" max="12546" width="34.42578125" style="1195" customWidth="1"/>
    <col min="12547" max="12547" width="9.140625" style="1195"/>
    <col min="12548" max="12548" width="10.28515625" style="1195" customWidth="1"/>
    <col min="12549" max="12550" width="12.7109375" style="1195" customWidth="1"/>
    <col min="12551" max="12551" width="11.85546875" style="1195" customWidth="1"/>
    <col min="12552" max="12552" width="15.140625" style="1195" customWidth="1"/>
    <col min="12553" max="12553" width="49" style="1195" customWidth="1"/>
    <col min="12554" max="12800" width="9.140625" style="1195"/>
    <col min="12801" max="12801" width="6.28515625" style="1195" customWidth="1"/>
    <col min="12802" max="12802" width="34.42578125" style="1195" customWidth="1"/>
    <col min="12803" max="12803" width="9.140625" style="1195"/>
    <col min="12804" max="12804" width="10.28515625" style="1195" customWidth="1"/>
    <col min="12805" max="12806" width="12.7109375" style="1195" customWidth="1"/>
    <col min="12807" max="12807" width="11.85546875" style="1195" customWidth="1"/>
    <col min="12808" max="12808" width="15.140625" style="1195" customWidth="1"/>
    <col min="12809" max="12809" width="49" style="1195" customWidth="1"/>
    <col min="12810" max="13056" width="9.140625" style="1195"/>
    <col min="13057" max="13057" width="6.28515625" style="1195" customWidth="1"/>
    <col min="13058" max="13058" width="34.42578125" style="1195" customWidth="1"/>
    <col min="13059" max="13059" width="9.140625" style="1195"/>
    <col min="13060" max="13060" width="10.28515625" style="1195" customWidth="1"/>
    <col min="13061" max="13062" width="12.7109375" style="1195" customWidth="1"/>
    <col min="13063" max="13063" width="11.85546875" style="1195" customWidth="1"/>
    <col min="13064" max="13064" width="15.140625" style="1195" customWidth="1"/>
    <col min="13065" max="13065" width="49" style="1195" customWidth="1"/>
    <col min="13066" max="13312" width="9.140625" style="1195"/>
    <col min="13313" max="13313" width="6.28515625" style="1195" customWidth="1"/>
    <col min="13314" max="13314" width="34.42578125" style="1195" customWidth="1"/>
    <col min="13315" max="13315" width="9.140625" style="1195"/>
    <col min="13316" max="13316" width="10.28515625" style="1195" customWidth="1"/>
    <col min="13317" max="13318" width="12.7109375" style="1195" customWidth="1"/>
    <col min="13319" max="13319" width="11.85546875" style="1195" customWidth="1"/>
    <col min="13320" max="13320" width="15.140625" style="1195" customWidth="1"/>
    <col min="13321" max="13321" width="49" style="1195" customWidth="1"/>
    <col min="13322" max="13568" width="9.140625" style="1195"/>
    <col min="13569" max="13569" width="6.28515625" style="1195" customWidth="1"/>
    <col min="13570" max="13570" width="34.42578125" style="1195" customWidth="1"/>
    <col min="13571" max="13571" width="9.140625" style="1195"/>
    <col min="13572" max="13572" width="10.28515625" style="1195" customWidth="1"/>
    <col min="13573" max="13574" width="12.7109375" style="1195" customWidth="1"/>
    <col min="13575" max="13575" width="11.85546875" style="1195" customWidth="1"/>
    <col min="13576" max="13576" width="15.140625" style="1195" customWidth="1"/>
    <col min="13577" max="13577" width="49" style="1195" customWidth="1"/>
    <col min="13578" max="13824" width="9.140625" style="1195"/>
    <col min="13825" max="13825" width="6.28515625" style="1195" customWidth="1"/>
    <col min="13826" max="13826" width="34.42578125" style="1195" customWidth="1"/>
    <col min="13827" max="13827" width="9.140625" style="1195"/>
    <col min="13828" max="13828" width="10.28515625" style="1195" customWidth="1"/>
    <col min="13829" max="13830" width="12.7109375" style="1195" customWidth="1"/>
    <col min="13831" max="13831" width="11.85546875" style="1195" customWidth="1"/>
    <col min="13832" max="13832" width="15.140625" style="1195" customWidth="1"/>
    <col min="13833" max="13833" width="49" style="1195" customWidth="1"/>
    <col min="13834" max="14080" width="9.140625" style="1195"/>
    <col min="14081" max="14081" width="6.28515625" style="1195" customWidth="1"/>
    <col min="14082" max="14082" width="34.42578125" style="1195" customWidth="1"/>
    <col min="14083" max="14083" width="9.140625" style="1195"/>
    <col min="14084" max="14084" width="10.28515625" style="1195" customWidth="1"/>
    <col min="14085" max="14086" width="12.7109375" style="1195" customWidth="1"/>
    <col min="14087" max="14087" width="11.85546875" style="1195" customWidth="1"/>
    <col min="14088" max="14088" width="15.140625" style="1195" customWidth="1"/>
    <col min="14089" max="14089" width="49" style="1195" customWidth="1"/>
    <col min="14090" max="14336" width="9.140625" style="1195"/>
    <col min="14337" max="14337" width="6.28515625" style="1195" customWidth="1"/>
    <col min="14338" max="14338" width="34.42578125" style="1195" customWidth="1"/>
    <col min="14339" max="14339" width="9.140625" style="1195"/>
    <col min="14340" max="14340" width="10.28515625" style="1195" customWidth="1"/>
    <col min="14341" max="14342" width="12.7109375" style="1195" customWidth="1"/>
    <col min="14343" max="14343" width="11.85546875" style="1195" customWidth="1"/>
    <col min="14344" max="14344" width="15.140625" style="1195" customWidth="1"/>
    <col min="14345" max="14345" width="49" style="1195" customWidth="1"/>
    <col min="14346" max="14592" width="9.140625" style="1195"/>
    <col min="14593" max="14593" width="6.28515625" style="1195" customWidth="1"/>
    <col min="14594" max="14594" width="34.42578125" style="1195" customWidth="1"/>
    <col min="14595" max="14595" width="9.140625" style="1195"/>
    <col min="14596" max="14596" width="10.28515625" style="1195" customWidth="1"/>
    <col min="14597" max="14598" width="12.7109375" style="1195" customWidth="1"/>
    <col min="14599" max="14599" width="11.85546875" style="1195" customWidth="1"/>
    <col min="14600" max="14600" width="15.140625" style="1195" customWidth="1"/>
    <col min="14601" max="14601" width="49" style="1195" customWidth="1"/>
    <col min="14602" max="14848" width="9.140625" style="1195"/>
    <col min="14849" max="14849" width="6.28515625" style="1195" customWidth="1"/>
    <col min="14850" max="14850" width="34.42578125" style="1195" customWidth="1"/>
    <col min="14851" max="14851" width="9.140625" style="1195"/>
    <col min="14852" max="14852" width="10.28515625" style="1195" customWidth="1"/>
    <col min="14853" max="14854" width="12.7109375" style="1195" customWidth="1"/>
    <col min="14855" max="14855" width="11.85546875" style="1195" customWidth="1"/>
    <col min="14856" max="14856" width="15.140625" style="1195" customWidth="1"/>
    <col min="14857" max="14857" width="49" style="1195" customWidth="1"/>
    <col min="14858" max="15104" width="9.140625" style="1195"/>
    <col min="15105" max="15105" width="6.28515625" style="1195" customWidth="1"/>
    <col min="15106" max="15106" width="34.42578125" style="1195" customWidth="1"/>
    <col min="15107" max="15107" width="9.140625" style="1195"/>
    <col min="15108" max="15108" width="10.28515625" style="1195" customWidth="1"/>
    <col min="15109" max="15110" width="12.7109375" style="1195" customWidth="1"/>
    <col min="15111" max="15111" width="11.85546875" style="1195" customWidth="1"/>
    <col min="15112" max="15112" width="15.140625" style="1195" customWidth="1"/>
    <col min="15113" max="15113" width="49" style="1195" customWidth="1"/>
    <col min="15114" max="15360" width="9.140625" style="1195"/>
    <col min="15361" max="15361" width="6.28515625" style="1195" customWidth="1"/>
    <col min="15362" max="15362" width="34.42578125" style="1195" customWidth="1"/>
    <col min="15363" max="15363" width="9.140625" style="1195"/>
    <col min="15364" max="15364" width="10.28515625" style="1195" customWidth="1"/>
    <col min="15365" max="15366" width="12.7109375" style="1195" customWidth="1"/>
    <col min="15367" max="15367" width="11.85546875" style="1195" customWidth="1"/>
    <col min="15368" max="15368" width="15.140625" style="1195" customWidth="1"/>
    <col min="15369" max="15369" width="49" style="1195" customWidth="1"/>
    <col min="15370" max="15616" width="9.140625" style="1195"/>
    <col min="15617" max="15617" width="6.28515625" style="1195" customWidth="1"/>
    <col min="15618" max="15618" width="34.42578125" style="1195" customWidth="1"/>
    <col min="15619" max="15619" width="9.140625" style="1195"/>
    <col min="15620" max="15620" width="10.28515625" style="1195" customWidth="1"/>
    <col min="15621" max="15622" width="12.7109375" style="1195" customWidth="1"/>
    <col min="15623" max="15623" width="11.85546875" style="1195" customWidth="1"/>
    <col min="15624" max="15624" width="15.140625" style="1195" customWidth="1"/>
    <col min="15625" max="15625" width="49" style="1195" customWidth="1"/>
    <col min="15626" max="15872" width="9.140625" style="1195"/>
    <col min="15873" max="15873" width="6.28515625" style="1195" customWidth="1"/>
    <col min="15874" max="15874" width="34.42578125" style="1195" customWidth="1"/>
    <col min="15875" max="15875" width="9.140625" style="1195"/>
    <col min="15876" max="15876" width="10.28515625" style="1195" customWidth="1"/>
    <col min="15877" max="15878" width="12.7109375" style="1195" customWidth="1"/>
    <col min="15879" max="15879" width="11.85546875" style="1195" customWidth="1"/>
    <col min="15880" max="15880" width="15.140625" style="1195" customWidth="1"/>
    <col min="15881" max="15881" width="49" style="1195" customWidth="1"/>
    <col min="15882" max="16128" width="9.140625" style="1195"/>
    <col min="16129" max="16129" width="6.28515625" style="1195" customWidth="1"/>
    <col min="16130" max="16130" width="34.42578125" style="1195" customWidth="1"/>
    <col min="16131" max="16131" width="9.140625" style="1195"/>
    <col min="16132" max="16132" width="10.28515625" style="1195" customWidth="1"/>
    <col min="16133" max="16134" width="12.7109375" style="1195" customWidth="1"/>
    <col min="16135" max="16135" width="11.85546875" style="1195" customWidth="1"/>
    <col min="16136" max="16136" width="15.140625" style="1195" customWidth="1"/>
    <col min="16137" max="16137" width="49" style="1195" customWidth="1"/>
    <col min="16138" max="16384" width="9.140625" style="1195"/>
  </cols>
  <sheetData>
    <row r="1" spans="1:10" ht="55.5" customHeight="1">
      <c r="A1" s="4783"/>
      <c r="B1" s="4783"/>
      <c r="C1" s="4784"/>
      <c r="D1" s="1467"/>
      <c r="E1" s="1468"/>
      <c r="F1" s="1467"/>
      <c r="G1" s="1467"/>
      <c r="H1" s="1467"/>
      <c r="I1" s="1466" t="s">
        <v>1453</v>
      </c>
    </row>
    <row r="2" spans="1:10" s="1436" customFormat="1" ht="33.75" customHeight="1">
      <c r="A2" s="4785" t="s">
        <v>802</v>
      </c>
      <c r="B2" s="4785"/>
      <c r="C2" s="4785"/>
      <c r="D2" s="4785"/>
      <c r="E2" s="4785"/>
      <c r="F2" s="4785"/>
      <c r="G2" s="4785"/>
      <c r="H2" s="4785"/>
      <c r="I2" s="4785"/>
    </row>
    <row r="3" spans="1:10" s="1436" customFormat="1" ht="21" customHeight="1" thickBot="1">
      <c r="A3" s="1464"/>
      <c r="B3" s="1464"/>
      <c r="C3" s="1464"/>
      <c r="D3" s="1464"/>
      <c r="E3" s="1465"/>
      <c r="F3" s="1464"/>
      <c r="G3" s="1464"/>
      <c r="H3" s="1464"/>
      <c r="I3" s="1463" t="s">
        <v>801</v>
      </c>
    </row>
    <row r="4" spans="1:10" s="1436" customFormat="1" ht="21" customHeight="1" thickBot="1">
      <c r="A4" s="4786" t="s">
        <v>653</v>
      </c>
      <c r="B4" s="4786" t="s">
        <v>688</v>
      </c>
      <c r="C4" s="4786" t="s">
        <v>2</v>
      </c>
      <c r="D4" s="4786" t="s">
        <v>651</v>
      </c>
      <c r="E4" s="4787" t="s">
        <v>655</v>
      </c>
      <c r="F4" s="4787" t="s">
        <v>5</v>
      </c>
      <c r="G4" s="4787" t="s">
        <v>412</v>
      </c>
      <c r="H4" s="4787"/>
      <c r="I4" s="4788" t="s">
        <v>661</v>
      </c>
    </row>
    <row r="5" spans="1:10" s="1436" customFormat="1" ht="15" customHeight="1" thickBot="1">
      <c r="A5" s="4786"/>
      <c r="B5" s="4786"/>
      <c r="C5" s="4786"/>
      <c r="D5" s="4786"/>
      <c r="E5" s="4786"/>
      <c r="F5" s="4787"/>
      <c r="G5" s="4787" t="s">
        <v>660</v>
      </c>
      <c r="H5" s="4787" t="s">
        <v>659</v>
      </c>
      <c r="I5" s="4788"/>
    </row>
    <row r="6" spans="1:10" s="1436" customFormat="1" ht="28.5" customHeight="1" thickBot="1">
      <c r="A6" s="4786"/>
      <c r="B6" s="4786"/>
      <c r="C6" s="4786"/>
      <c r="D6" s="4786"/>
      <c r="E6" s="4786"/>
      <c r="F6" s="4787"/>
      <c r="G6" s="4787"/>
      <c r="H6" s="4787"/>
      <c r="I6" s="4788"/>
    </row>
    <row r="7" spans="1:10" ht="66" customHeight="1" thickBot="1">
      <c r="A7" s="4789">
        <v>1</v>
      </c>
      <c r="B7" s="4790" t="s">
        <v>800</v>
      </c>
      <c r="C7" s="4778" t="s">
        <v>21</v>
      </c>
      <c r="D7" s="4778" t="s">
        <v>40</v>
      </c>
      <c r="E7" s="4796">
        <f>SUM(G7:H10)</f>
        <v>11440000</v>
      </c>
      <c r="F7" s="1461">
        <v>2310</v>
      </c>
      <c r="G7" s="1460">
        <v>4065000</v>
      </c>
      <c r="H7" s="1460"/>
      <c r="I7" s="1462" t="s">
        <v>799</v>
      </c>
    </row>
    <row r="8" spans="1:10" ht="66.75" customHeight="1" thickBot="1">
      <c r="A8" s="4789"/>
      <c r="B8" s="4790"/>
      <c r="C8" s="4778"/>
      <c r="D8" s="4778"/>
      <c r="E8" s="4796"/>
      <c r="F8" s="1461">
        <v>2320</v>
      </c>
      <c r="G8" s="1460">
        <v>50000</v>
      </c>
      <c r="H8" s="1460"/>
      <c r="I8" s="1459" t="s">
        <v>798</v>
      </c>
    </row>
    <row r="9" spans="1:10" ht="42.75" customHeight="1" thickBot="1">
      <c r="A9" s="4789"/>
      <c r="B9" s="4790"/>
      <c r="C9" s="4778"/>
      <c r="D9" s="4778"/>
      <c r="E9" s="4796"/>
      <c r="F9" s="1461">
        <v>6610</v>
      </c>
      <c r="G9" s="1460"/>
      <c r="H9" s="1460">
        <v>7305000</v>
      </c>
      <c r="I9" s="1459" t="s">
        <v>797</v>
      </c>
    </row>
    <row r="10" spans="1:10" ht="72" customHeight="1" thickBot="1">
      <c r="A10" s="4789"/>
      <c r="B10" s="4790"/>
      <c r="C10" s="4778"/>
      <c r="D10" s="4778"/>
      <c r="E10" s="4796"/>
      <c r="F10" s="1461">
        <v>6620</v>
      </c>
      <c r="G10" s="1460"/>
      <c r="H10" s="1460">
        <v>20000</v>
      </c>
      <c r="I10" s="1459" t="s">
        <v>796</v>
      </c>
    </row>
    <row r="11" spans="1:10" ht="72" customHeight="1" thickBot="1">
      <c r="A11" s="4789">
        <v>2</v>
      </c>
      <c r="B11" s="4790" t="s">
        <v>795</v>
      </c>
      <c r="C11" s="4778" t="s">
        <v>794</v>
      </c>
      <c r="D11" s="4778" t="s">
        <v>793</v>
      </c>
      <c r="E11" s="4796">
        <f>SUM(G11:H13)</f>
        <v>8000000</v>
      </c>
      <c r="F11" s="1461">
        <v>2310</v>
      </c>
      <c r="G11" s="1460">
        <v>1300000</v>
      </c>
      <c r="H11" s="1460"/>
      <c r="I11" s="1459" t="s">
        <v>792</v>
      </c>
    </row>
    <row r="12" spans="1:10" ht="70.5" customHeight="1" thickBot="1">
      <c r="A12" s="4789"/>
      <c r="B12" s="4790"/>
      <c r="C12" s="4778"/>
      <c r="D12" s="4778"/>
      <c r="E12" s="4796"/>
      <c r="F12" s="1461">
        <v>2320</v>
      </c>
      <c r="G12" s="1460">
        <v>3000000</v>
      </c>
      <c r="H12" s="1460"/>
      <c r="I12" s="1459" t="s">
        <v>791</v>
      </c>
    </row>
    <row r="13" spans="1:10" ht="75.75" customHeight="1" thickBot="1">
      <c r="A13" s="4789"/>
      <c r="B13" s="4790"/>
      <c r="C13" s="4778"/>
      <c r="D13" s="4778"/>
      <c r="E13" s="4796"/>
      <c r="F13" s="1461">
        <v>2800</v>
      </c>
      <c r="G13" s="1460">
        <v>3700000</v>
      </c>
      <c r="H13" s="1460"/>
      <c r="I13" s="1459" t="s">
        <v>790</v>
      </c>
    </row>
    <row r="14" spans="1:10" s="1436" customFormat="1" ht="39" customHeight="1" thickBot="1">
      <c r="A14" s="1452">
        <v>3</v>
      </c>
      <c r="B14" s="1429" t="s">
        <v>789</v>
      </c>
      <c r="C14" s="4791" t="s">
        <v>788</v>
      </c>
      <c r="D14" s="1458" t="s">
        <v>787</v>
      </c>
      <c r="E14" s="1457">
        <f>SUM(G14:H14)</f>
        <v>450000</v>
      </c>
      <c r="F14" s="1450">
        <v>6170</v>
      </c>
      <c r="G14" s="1449"/>
      <c r="H14" s="1449">
        <v>450000</v>
      </c>
      <c r="I14" s="1445" t="s">
        <v>786</v>
      </c>
      <c r="J14" s="1456"/>
    </row>
    <row r="15" spans="1:10" s="1436" customFormat="1" ht="52.5" customHeight="1" thickBot="1">
      <c r="A15" s="1452">
        <v>4</v>
      </c>
      <c r="B15" s="1429" t="s">
        <v>785</v>
      </c>
      <c r="C15" s="4791"/>
      <c r="D15" s="1458" t="s">
        <v>784</v>
      </c>
      <c r="E15" s="1457">
        <f>SUM(G15:H15)</f>
        <v>363500</v>
      </c>
      <c r="F15" s="1450">
        <v>6170</v>
      </c>
      <c r="G15" s="1449"/>
      <c r="H15" s="1449">
        <v>363500</v>
      </c>
      <c r="I15" s="1445" t="s">
        <v>783</v>
      </c>
      <c r="J15" s="1456"/>
    </row>
    <row r="16" spans="1:10" s="1436" customFormat="1" ht="49.5" customHeight="1" thickBot="1">
      <c r="A16" s="1452">
        <v>5</v>
      </c>
      <c r="B16" s="1429" t="s">
        <v>782</v>
      </c>
      <c r="C16" s="4791"/>
      <c r="D16" s="1458" t="s">
        <v>781</v>
      </c>
      <c r="E16" s="1457">
        <f>SUM(G16:H16)</f>
        <v>500000</v>
      </c>
      <c r="F16" s="1450">
        <v>6170</v>
      </c>
      <c r="G16" s="1449"/>
      <c r="H16" s="1449">
        <v>500000</v>
      </c>
      <c r="I16" s="1445" t="s">
        <v>780</v>
      </c>
      <c r="J16" s="1456"/>
    </row>
    <row r="17" spans="1:14" s="1436" customFormat="1" ht="183.75" customHeight="1" thickBot="1">
      <c r="A17" s="1452">
        <v>6</v>
      </c>
      <c r="B17" s="1429" t="s">
        <v>779</v>
      </c>
      <c r="C17" s="1431">
        <v>851</v>
      </c>
      <c r="D17" s="1431">
        <v>85111</v>
      </c>
      <c r="E17" s="1430">
        <f>SUM(G17:H25)</f>
        <v>120911444</v>
      </c>
      <c r="F17" s="1450">
        <v>6220</v>
      </c>
      <c r="G17" s="1449"/>
      <c r="H17" s="1453">
        <v>33112905</v>
      </c>
      <c r="I17" s="1445" t="s">
        <v>778</v>
      </c>
      <c r="J17" s="1455"/>
    </row>
    <row r="18" spans="1:14" s="1436" customFormat="1" ht="39" customHeight="1" thickBot="1">
      <c r="A18" s="4777">
        <v>7</v>
      </c>
      <c r="B18" s="4779" t="s">
        <v>777</v>
      </c>
      <c r="C18" s="4766">
        <v>851</v>
      </c>
      <c r="D18" s="4771">
        <v>85111</v>
      </c>
      <c r="E18" s="4793" t="s">
        <v>720</v>
      </c>
      <c r="F18" s="1450">
        <v>2560</v>
      </c>
      <c r="G18" s="1449">
        <v>160000</v>
      </c>
      <c r="H18" s="1453"/>
      <c r="I18" s="1445" t="s">
        <v>771</v>
      </c>
      <c r="J18" s="1455"/>
    </row>
    <row r="19" spans="1:14" s="1436" customFormat="1" ht="324" customHeight="1" thickBot="1">
      <c r="A19" s="4777"/>
      <c r="B19" s="4770"/>
      <c r="C19" s="4766"/>
      <c r="D19" s="4773"/>
      <c r="E19" s="4794"/>
      <c r="F19" s="1450">
        <v>6220</v>
      </c>
      <c r="G19" s="1449"/>
      <c r="H19" s="1453">
        <v>44562524</v>
      </c>
      <c r="I19" s="1445" t="s">
        <v>776</v>
      </c>
      <c r="J19" s="1455"/>
    </row>
    <row r="20" spans="1:14" s="1436" customFormat="1" ht="66" customHeight="1" thickBot="1">
      <c r="A20" s="4777">
        <v>8</v>
      </c>
      <c r="B20" s="4770" t="s">
        <v>775</v>
      </c>
      <c r="C20" s="4766">
        <v>851</v>
      </c>
      <c r="D20" s="4771">
        <v>85111</v>
      </c>
      <c r="E20" s="4793" t="s">
        <v>720</v>
      </c>
      <c r="F20" s="1450">
        <v>2560</v>
      </c>
      <c r="G20" s="1449">
        <f>49000+1201956</f>
        <v>1250956</v>
      </c>
      <c r="H20" s="1453"/>
      <c r="I20" s="1445" t="s">
        <v>774</v>
      </c>
      <c r="J20" s="1455"/>
    </row>
    <row r="21" spans="1:14" s="1436" customFormat="1" ht="150" customHeight="1" thickBot="1">
      <c r="A21" s="4777"/>
      <c r="B21" s="4770"/>
      <c r="C21" s="4766"/>
      <c r="D21" s="4772"/>
      <c r="E21" s="4795"/>
      <c r="F21" s="1450">
        <v>6220</v>
      </c>
      <c r="G21" s="1449"/>
      <c r="H21" s="1453">
        <v>10895780</v>
      </c>
      <c r="I21" s="1445" t="s">
        <v>773</v>
      </c>
      <c r="J21" s="1448"/>
    </row>
    <row r="22" spans="1:14" s="1436" customFormat="1" ht="39" customHeight="1" thickBot="1">
      <c r="A22" s="4777">
        <v>9</v>
      </c>
      <c r="B22" s="4770" t="s">
        <v>772</v>
      </c>
      <c r="C22" s="4766"/>
      <c r="D22" s="4772"/>
      <c r="E22" s="4795"/>
      <c r="F22" s="1450">
        <v>2560</v>
      </c>
      <c r="G22" s="1449">
        <v>120000</v>
      </c>
      <c r="H22" s="1453"/>
      <c r="I22" s="1445" t="s">
        <v>771</v>
      </c>
      <c r="J22" s="1448"/>
    </row>
    <row r="23" spans="1:14" s="1436" customFormat="1" ht="219.75" customHeight="1" thickBot="1">
      <c r="A23" s="4777"/>
      <c r="B23" s="4770"/>
      <c r="C23" s="4766"/>
      <c r="D23" s="4772"/>
      <c r="E23" s="4795"/>
      <c r="F23" s="1450">
        <v>6220</v>
      </c>
      <c r="G23" s="1449"/>
      <c r="H23" s="1453">
        <f>8261456+10000000</f>
        <v>18261456</v>
      </c>
      <c r="I23" s="1445" t="s">
        <v>1448</v>
      </c>
      <c r="J23" s="1448"/>
    </row>
    <row r="24" spans="1:14" s="1436" customFormat="1" ht="93" customHeight="1" thickBot="1">
      <c r="A24" s="1452">
        <v>10</v>
      </c>
      <c r="B24" s="1454" t="s">
        <v>768</v>
      </c>
      <c r="C24" s="4766"/>
      <c r="D24" s="4773"/>
      <c r="E24" s="4794"/>
      <c r="F24" s="1450">
        <v>2560</v>
      </c>
      <c r="G24" s="1449">
        <f>532224+56081</f>
        <v>588305</v>
      </c>
      <c r="H24" s="1453"/>
      <c r="I24" s="1445" t="s">
        <v>770</v>
      </c>
      <c r="J24" s="1448"/>
    </row>
    <row r="25" spans="1:14" s="1436" customFormat="1" ht="271.5" customHeight="1" thickBot="1">
      <c r="A25" s="1452" t="s">
        <v>769</v>
      </c>
      <c r="B25" s="1454" t="s">
        <v>768</v>
      </c>
      <c r="C25" s="4766">
        <v>851</v>
      </c>
      <c r="D25" s="1431">
        <v>85111</v>
      </c>
      <c r="E25" s="1430" t="s">
        <v>720</v>
      </c>
      <c r="F25" s="1450">
        <v>6220</v>
      </c>
      <c r="G25" s="1449"/>
      <c r="H25" s="1453">
        <v>11959518</v>
      </c>
      <c r="I25" s="1445" t="s">
        <v>767</v>
      </c>
      <c r="J25" s="1448"/>
    </row>
    <row r="26" spans="1:14" s="1436" customFormat="1" ht="79.5" customHeight="1" thickBot="1">
      <c r="A26" s="1452">
        <v>11</v>
      </c>
      <c r="B26" s="1451" t="s">
        <v>766</v>
      </c>
      <c r="C26" s="4766"/>
      <c r="D26" s="4766">
        <v>85120</v>
      </c>
      <c r="E26" s="4792">
        <f>SUM(G26:H28)</f>
        <v>10896205</v>
      </c>
      <c r="F26" s="1450">
        <v>6220</v>
      </c>
      <c r="G26" s="1449"/>
      <c r="H26" s="1449">
        <v>10126652</v>
      </c>
      <c r="I26" s="1445" t="s">
        <v>765</v>
      </c>
      <c r="J26" s="1448"/>
    </row>
    <row r="27" spans="1:14" s="1436" customFormat="1" ht="60" customHeight="1" thickBot="1">
      <c r="A27" s="4777">
        <v>12</v>
      </c>
      <c r="B27" s="4775" t="s">
        <v>764</v>
      </c>
      <c r="C27" s="4766"/>
      <c r="D27" s="4766"/>
      <c r="E27" s="4792"/>
      <c r="F27" s="1450">
        <v>2560</v>
      </c>
      <c r="G27" s="1449">
        <v>149808</v>
      </c>
      <c r="H27" s="1449"/>
      <c r="I27" s="1445" t="s">
        <v>763</v>
      </c>
      <c r="J27" s="1448"/>
    </row>
    <row r="28" spans="1:14" s="1436" customFormat="1" ht="126.75" customHeight="1" thickBot="1">
      <c r="A28" s="4777"/>
      <c r="B28" s="4780"/>
      <c r="C28" s="4766"/>
      <c r="D28" s="4766"/>
      <c r="E28" s="4792"/>
      <c r="F28" s="1450">
        <v>6220</v>
      </c>
      <c r="G28" s="1449"/>
      <c r="H28" s="1449">
        <v>619745</v>
      </c>
      <c r="I28" s="1445" t="s">
        <v>762</v>
      </c>
      <c r="J28" s="1448"/>
    </row>
    <row r="29" spans="1:14" s="1436" customFormat="1" ht="61.5" customHeight="1" thickBot="1">
      <c r="A29" s="1431">
        <v>13</v>
      </c>
      <c r="B29" s="1447" t="s">
        <v>761</v>
      </c>
      <c r="C29" s="4766">
        <v>851</v>
      </c>
      <c r="D29" s="4766">
        <v>85121</v>
      </c>
      <c r="E29" s="4792">
        <f>SUM(G29:H31)</f>
        <v>3687015</v>
      </c>
      <c r="F29" s="1435">
        <v>6220</v>
      </c>
      <c r="G29" s="1446"/>
      <c r="H29" s="1446">
        <v>1656756</v>
      </c>
      <c r="I29" s="1445" t="s">
        <v>760</v>
      </c>
      <c r="J29" s="1439"/>
      <c r="K29" s="1437"/>
      <c r="L29" s="1437"/>
      <c r="M29" s="1437"/>
      <c r="N29" s="1437"/>
    </row>
    <row r="30" spans="1:14" s="1436" customFormat="1" ht="61.5" customHeight="1" thickBot="1">
      <c r="A30" s="4766">
        <v>14</v>
      </c>
      <c r="B30" s="4781" t="s">
        <v>759</v>
      </c>
      <c r="C30" s="4766"/>
      <c r="D30" s="4766"/>
      <c r="E30" s="4792"/>
      <c r="F30" s="1435">
        <v>2560</v>
      </c>
      <c r="G30" s="1446">
        <v>550000</v>
      </c>
      <c r="H30" s="1446"/>
      <c r="I30" s="1445" t="s">
        <v>758</v>
      </c>
      <c r="J30" s="1439"/>
      <c r="K30" s="1437"/>
      <c r="L30" s="1437"/>
      <c r="M30" s="1437"/>
      <c r="N30" s="1437"/>
    </row>
    <row r="31" spans="1:14" s="1436" customFormat="1" ht="60" customHeight="1" thickBot="1">
      <c r="A31" s="4766"/>
      <c r="B31" s="4770"/>
      <c r="C31" s="4766"/>
      <c r="D31" s="4766"/>
      <c r="E31" s="4792"/>
      <c r="F31" s="1435">
        <v>6220</v>
      </c>
      <c r="G31" s="1446"/>
      <c r="H31" s="1446">
        <v>1480259</v>
      </c>
      <c r="I31" s="1445" t="s">
        <v>757</v>
      </c>
      <c r="J31" s="1439"/>
      <c r="K31" s="1437"/>
      <c r="L31" s="1437"/>
      <c r="M31" s="1437"/>
      <c r="N31" s="1437"/>
    </row>
    <row r="32" spans="1:14" s="1436" customFormat="1" ht="84" customHeight="1" thickBot="1">
      <c r="A32" s="1431">
        <v>15</v>
      </c>
      <c r="B32" s="1447" t="s">
        <v>756</v>
      </c>
      <c r="C32" s="4766"/>
      <c r="D32" s="4766">
        <v>85141</v>
      </c>
      <c r="E32" s="4792">
        <f>SUM(G32:H33)</f>
        <v>2952636</v>
      </c>
      <c r="F32" s="1435">
        <v>6220</v>
      </c>
      <c r="G32" s="1446"/>
      <c r="H32" s="1446">
        <v>1802656</v>
      </c>
      <c r="I32" s="1445" t="s">
        <v>755</v>
      </c>
      <c r="J32" s="1439"/>
      <c r="K32" s="1437"/>
      <c r="L32" s="1437"/>
      <c r="M32" s="1437"/>
      <c r="N32" s="1437"/>
    </row>
    <row r="33" spans="1:14" s="1436" customFormat="1" ht="63.75" customHeight="1" thickBot="1">
      <c r="A33" s="1431">
        <v>16</v>
      </c>
      <c r="B33" s="1444" t="s">
        <v>754</v>
      </c>
      <c r="C33" s="4766"/>
      <c r="D33" s="4766"/>
      <c r="E33" s="4792"/>
      <c r="F33" s="1435">
        <v>6220</v>
      </c>
      <c r="G33" s="1446"/>
      <c r="H33" s="1446">
        <f>999980+150000</f>
        <v>1149980</v>
      </c>
      <c r="I33" s="1440" t="s">
        <v>753</v>
      </c>
      <c r="J33" s="1439"/>
      <c r="K33" s="1437"/>
      <c r="L33" s="1437"/>
      <c r="M33" s="1437"/>
      <c r="N33" s="1437"/>
    </row>
    <row r="34" spans="1:14" s="1436" customFormat="1" ht="50.25" customHeight="1" thickBot="1">
      <c r="A34" s="4766">
        <v>17</v>
      </c>
      <c r="B34" s="4770" t="s">
        <v>752</v>
      </c>
      <c r="C34" s="4766"/>
      <c r="D34" s="4766">
        <v>85148</v>
      </c>
      <c r="E34" s="4792">
        <f>SUM(G34:H35)</f>
        <v>1715331</v>
      </c>
      <c r="F34" s="1435">
        <v>2560</v>
      </c>
      <c r="G34" s="1446">
        <v>1600000</v>
      </c>
      <c r="H34" s="1446"/>
      <c r="I34" s="1445" t="s">
        <v>751</v>
      </c>
      <c r="J34" s="1439"/>
      <c r="K34" s="1437"/>
      <c r="L34" s="1437"/>
      <c r="M34" s="1437"/>
      <c r="N34" s="1437"/>
    </row>
    <row r="35" spans="1:14" s="1436" customFormat="1" ht="52.5" customHeight="1" thickBot="1">
      <c r="A35" s="4766"/>
      <c r="B35" s="4770"/>
      <c r="C35" s="4766"/>
      <c r="D35" s="4782"/>
      <c r="E35" s="4782"/>
      <c r="F35" s="1435">
        <v>6220</v>
      </c>
      <c r="G35" s="1446"/>
      <c r="H35" s="1446">
        <v>115331</v>
      </c>
      <c r="I35" s="1445" t="s">
        <v>750</v>
      </c>
      <c r="J35" s="1439"/>
      <c r="K35" s="1437"/>
      <c r="L35" s="1437"/>
      <c r="M35" s="1437"/>
      <c r="N35" s="1437"/>
    </row>
    <row r="36" spans="1:14" s="1436" customFormat="1" ht="66" customHeight="1" thickBot="1">
      <c r="A36" s="1431">
        <v>18</v>
      </c>
      <c r="B36" s="1444" t="s">
        <v>749</v>
      </c>
      <c r="C36" s="4766"/>
      <c r="D36" s="1443">
        <v>85154</v>
      </c>
      <c r="E36" s="1442">
        <f>SUM(G36:H36)</f>
        <v>164998</v>
      </c>
      <c r="F36" s="1435">
        <v>2560</v>
      </c>
      <c r="G36" s="1441">
        <v>164998</v>
      </c>
      <c r="H36" s="1441"/>
      <c r="I36" s="1440" t="s">
        <v>748</v>
      </c>
      <c r="J36" s="1439"/>
      <c r="K36" s="1437"/>
      <c r="L36" s="1437"/>
      <c r="M36" s="1437"/>
      <c r="N36" s="1437"/>
    </row>
    <row r="37" spans="1:14" s="1436" customFormat="1" ht="66" customHeight="1" thickBot="1">
      <c r="A37" s="1431">
        <v>19</v>
      </c>
      <c r="B37" s="1444" t="s">
        <v>747</v>
      </c>
      <c r="C37" s="1431"/>
      <c r="D37" s="1443">
        <v>85295</v>
      </c>
      <c r="E37" s="1442">
        <f>G37</f>
        <v>200000</v>
      </c>
      <c r="F37" s="1435">
        <v>2340</v>
      </c>
      <c r="G37" s="1441">
        <v>200000</v>
      </c>
      <c r="H37" s="1441"/>
      <c r="I37" s="1440" t="s">
        <v>746</v>
      </c>
      <c r="J37" s="1439"/>
      <c r="K37" s="1437"/>
      <c r="L37" s="1437"/>
      <c r="M37" s="1437"/>
      <c r="N37" s="1437"/>
    </row>
    <row r="38" spans="1:14" s="1436" customFormat="1" ht="83.25" customHeight="1" thickBot="1">
      <c r="A38" s="4766">
        <v>20</v>
      </c>
      <c r="B38" s="4775" t="s">
        <v>745</v>
      </c>
      <c r="C38" s="4766">
        <v>921</v>
      </c>
      <c r="D38" s="4766">
        <v>92106</v>
      </c>
      <c r="E38" s="4792">
        <f>SUM(G38:H39)</f>
        <v>5986650</v>
      </c>
      <c r="F38" s="1435">
        <v>2800</v>
      </c>
      <c r="G38" s="1434">
        <v>1100000</v>
      </c>
      <c r="H38" s="1434"/>
      <c r="I38" s="1433" t="s">
        <v>744</v>
      </c>
      <c r="K38" s="1437"/>
      <c r="L38" s="1437"/>
      <c r="M38" s="1437"/>
      <c r="N38" s="1437"/>
    </row>
    <row r="39" spans="1:14" s="1436" customFormat="1" ht="106.5" customHeight="1" thickBot="1">
      <c r="A39" s="4766"/>
      <c r="B39" s="4775"/>
      <c r="C39" s="4766"/>
      <c r="D39" s="4766"/>
      <c r="E39" s="4792"/>
      <c r="F39" s="1435">
        <v>6220</v>
      </c>
      <c r="G39" s="1434"/>
      <c r="H39" s="1434">
        <v>4886650</v>
      </c>
      <c r="I39" s="1438" t="s">
        <v>743</v>
      </c>
      <c r="K39" s="1437"/>
      <c r="L39" s="1437"/>
      <c r="M39" s="1437"/>
      <c r="N39" s="1437"/>
    </row>
    <row r="40" spans="1:14" s="1436" customFormat="1" ht="50.25" customHeight="1" thickBot="1">
      <c r="A40" s="4766">
        <v>21</v>
      </c>
      <c r="B40" s="4775" t="s">
        <v>742</v>
      </c>
      <c r="C40" s="4766"/>
      <c r="D40" s="4766">
        <v>92108</v>
      </c>
      <c r="E40" s="4792">
        <f>SUM(G40:H41)</f>
        <v>1098000</v>
      </c>
      <c r="F40" s="1435">
        <v>2800</v>
      </c>
      <c r="G40" s="1434">
        <f>1050000-400000</f>
        <v>650000</v>
      </c>
      <c r="H40" s="1434"/>
      <c r="I40" s="1433" t="s">
        <v>741</v>
      </c>
      <c r="K40" s="1437"/>
      <c r="L40" s="1437"/>
      <c r="M40" s="1437"/>
      <c r="N40" s="1437"/>
    </row>
    <row r="41" spans="1:14" s="1436" customFormat="1" ht="87" customHeight="1" thickBot="1">
      <c r="A41" s="4766"/>
      <c r="B41" s="4775"/>
      <c r="C41" s="4766"/>
      <c r="D41" s="4766"/>
      <c r="E41" s="4792"/>
      <c r="F41" s="1435">
        <v>6220</v>
      </c>
      <c r="G41" s="1434"/>
      <c r="H41" s="1434">
        <v>448000</v>
      </c>
      <c r="I41" s="1433" t="s">
        <v>740</v>
      </c>
      <c r="K41" s="1437"/>
      <c r="L41" s="1437"/>
      <c r="M41" s="1437"/>
      <c r="N41" s="1437"/>
    </row>
    <row r="42" spans="1:14" ht="142.5" customHeight="1" thickBot="1">
      <c r="A42" s="4766">
        <v>22</v>
      </c>
      <c r="B42" s="4775" t="s">
        <v>739</v>
      </c>
      <c r="C42" s="4771">
        <v>921</v>
      </c>
      <c r="D42" s="4771">
        <v>92109</v>
      </c>
      <c r="E42" s="4793">
        <f>SUM(G42:H45)</f>
        <v>4222743</v>
      </c>
      <c r="F42" s="1435">
        <v>2800</v>
      </c>
      <c r="G42" s="1434">
        <v>627205</v>
      </c>
      <c r="H42" s="1434"/>
      <c r="I42" s="1433" t="s">
        <v>738</v>
      </c>
      <c r="J42" s="1196"/>
      <c r="K42" s="1418"/>
      <c r="L42" s="1418"/>
      <c r="M42" s="1418"/>
      <c r="N42" s="1418"/>
    </row>
    <row r="43" spans="1:14" ht="173.25" customHeight="1" thickBot="1">
      <c r="A43" s="4766"/>
      <c r="B43" s="4775"/>
      <c r="C43" s="4772"/>
      <c r="D43" s="4772"/>
      <c r="E43" s="4795"/>
      <c r="F43" s="1426">
        <v>6220</v>
      </c>
      <c r="G43" s="1425"/>
      <c r="H43" s="1425">
        <f>3000538-450000</f>
        <v>2550538</v>
      </c>
      <c r="I43" s="1432" t="s">
        <v>737</v>
      </c>
      <c r="K43" s="1418"/>
      <c r="L43" s="1418"/>
      <c r="M43" s="1418"/>
      <c r="N43" s="1418"/>
    </row>
    <row r="44" spans="1:14" ht="125.25" customHeight="1" thickBot="1">
      <c r="A44" s="4768">
        <v>23</v>
      </c>
      <c r="B44" s="4767" t="s">
        <v>697</v>
      </c>
      <c r="C44" s="4772"/>
      <c r="D44" s="4772"/>
      <c r="E44" s="4795"/>
      <c r="F44" s="1426">
        <v>2800</v>
      </c>
      <c r="G44" s="1425">
        <v>380000</v>
      </c>
      <c r="H44" s="1425"/>
      <c r="I44" s="1429" t="s">
        <v>736</v>
      </c>
      <c r="J44" s="1196"/>
      <c r="K44" s="1423"/>
      <c r="L44" s="1418"/>
      <c r="M44" s="1418"/>
      <c r="N44" s="1418"/>
    </row>
    <row r="45" spans="1:14" ht="65.25" customHeight="1" thickBot="1">
      <c r="A45" s="4768"/>
      <c r="B45" s="4767"/>
      <c r="C45" s="4773"/>
      <c r="D45" s="4773"/>
      <c r="E45" s="4794"/>
      <c r="F45" s="1426">
        <v>6220</v>
      </c>
      <c r="G45" s="1425"/>
      <c r="H45" s="1425">
        <v>665000</v>
      </c>
      <c r="I45" s="1429" t="s">
        <v>735</v>
      </c>
      <c r="J45" s="1196"/>
      <c r="K45" s="1418"/>
      <c r="L45" s="1418"/>
      <c r="M45" s="1418"/>
      <c r="N45" s="1418"/>
    </row>
    <row r="46" spans="1:14" ht="46.5" customHeight="1" thickBot="1">
      <c r="A46" s="1428">
        <v>24</v>
      </c>
      <c r="B46" s="1424" t="s">
        <v>734</v>
      </c>
      <c r="C46" s="4771">
        <v>921</v>
      </c>
      <c r="D46" s="1431">
        <v>92110</v>
      </c>
      <c r="E46" s="1430">
        <f>SUM(G46:H46)</f>
        <v>80000</v>
      </c>
      <c r="F46" s="1426">
        <v>6220</v>
      </c>
      <c r="G46" s="1425"/>
      <c r="H46" s="1425">
        <v>80000</v>
      </c>
      <c r="I46" s="1429" t="s">
        <v>733</v>
      </c>
      <c r="J46" s="1196"/>
      <c r="K46" s="1418"/>
      <c r="L46" s="1418"/>
      <c r="M46" s="1418"/>
      <c r="N46" s="1418"/>
    </row>
    <row r="47" spans="1:14" ht="53.25" customHeight="1" thickBot="1">
      <c r="A47" s="4768">
        <v>25</v>
      </c>
      <c r="B47" s="4767" t="s">
        <v>692</v>
      </c>
      <c r="C47" s="4772"/>
      <c r="D47" s="4766">
        <v>92114</v>
      </c>
      <c r="E47" s="4792">
        <f>SUM(G47:H48)</f>
        <v>2411800</v>
      </c>
      <c r="F47" s="1426">
        <v>2800</v>
      </c>
      <c r="G47" s="1425">
        <v>55000</v>
      </c>
      <c r="H47" s="1425"/>
      <c r="I47" s="1429" t="s">
        <v>732</v>
      </c>
      <c r="K47" s="1418"/>
      <c r="L47" s="1418"/>
      <c r="M47" s="1418"/>
      <c r="N47" s="1418"/>
    </row>
    <row r="48" spans="1:14" ht="135" customHeight="1" thickBot="1">
      <c r="A48" s="4768"/>
      <c r="B48" s="4767"/>
      <c r="C48" s="4772"/>
      <c r="D48" s="4766"/>
      <c r="E48" s="4792"/>
      <c r="F48" s="1426">
        <v>6220</v>
      </c>
      <c r="G48" s="1425"/>
      <c r="H48" s="1425">
        <v>2356800</v>
      </c>
      <c r="I48" s="1429" t="s">
        <v>731</v>
      </c>
      <c r="K48" s="1418"/>
      <c r="L48" s="1418"/>
      <c r="M48" s="1418"/>
      <c r="N48" s="1418"/>
    </row>
    <row r="49" spans="1:14" ht="69" customHeight="1" thickBot="1">
      <c r="A49" s="4768">
        <v>26</v>
      </c>
      <c r="B49" s="4767" t="s">
        <v>691</v>
      </c>
      <c r="C49" s="4772"/>
      <c r="D49" s="4766">
        <v>92116</v>
      </c>
      <c r="E49" s="4800">
        <f>SUM(G49:H50)</f>
        <v>187100</v>
      </c>
      <c r="F49" s="1426">
        <v>2800</v>
      </c>
      <c r="G49" s="1425">
        <v>115000</v>
      </c>
      <c r="H49" s="1425"/>
      <c r="I49" s="1427" t="s">
        <v>730</v>
      </c>
      <c r="K49" s="1418"/>
      <c r="L49" s="1418"/>
      <c r="M49" s="1418"/>
      <c r="N49" s="1418"/>
    </row>
    <row r="50" spans="1:14" ht="54.75" customHeight="1" thickBot="1">
      <c r="A50" s="4768"/>
      <c r="B50" s="4767"/>
      <c r="C50" s="4773"/>
      <c r="D50" s="4766"/>
      <c r="E50" s="4800"/>
      <c r="F50" s="1426">
        <v>6220</v>
      </c>
      <c r="G50" s="1425"/>
      <c r="H50" s="1425">
        <v>72100</v>
      </c>
      <c r="I50" s="1427" t="s">
        <v>729</v>
      </c>
      <c r="K50" s="1418"/>
      <c r="L50" s="1418"/>
      <c r="M50" s="1418"/>
      <c r="N50" s="1418"/>
    </row>
    <row r="51" spans="1:14" ht="94.5" customHeight="1" thickBot="1">
      <c r="A51" s="4768">
        <v>27</v>
      </c>
      <c r="B51" s="4769" t="s">
        <v>728</v>
      </c>
      <c r="C51" s="4771">
        <v>921</v>
      </c>
      <c r="D51" s="4771">
        <v>92118</v>
      </c>
      <c r="E51" s="4797">
        <f>SUM(G51:H62)</f>
        <v>5978165</v>
      </c>
      <c r="F51" s="1426">
        <v>2800</v>
      </c>
      <c r="G51" s="1425">
        <v>159110</v>
      </c>
      <c r="H51" s="1425"/>
      <c r="I51" s="1427" t="s">
        <v>727</v>
      </c>
      <c r="K51" s="1418"/>
      <c r="L51" s="1418"/>
      <c r="M51" s="1418"/>
      <c r="N51" s="1418"/>
    </row>
    <row r="52" spans="1:14" ht="121.5" customHeight="1" thickBot="1">
      <c r="A52" s="4774"/>
      <c r="B52" s="4770"/>
      <c r="C52" s="4772"/>
      <c r="D52" s="4772"/>
      <c r="E52" s="4798"/>
      <c r="F52" s="1426">
        <v>6220</v>
      </c>
      <c r="G52" s="1425"/>
      <c r="H52" s="1425">
        <v>500000</v>
      </c>
      <c r="I52" s="1427" t="s">
        <v>726</v>
      </c>
      <c r="K52" s="1418"/>
      <c r="L52" s="1418"/>
      <c r="M52" s="1418"/>
      <c r="N52" s="1418"/>
    </row>
    <row r="53" spans="1:14" ht="59.25" customHeight="1" thickBot="1">
      <c r="A53" s="4768">
        <v>28</v>
      </c>
      <c r="B53" s="4767" t="s">
        <v>707</v>
      </c>
      <c r="C53" s="4772"/>
      <c r="D53" s="4772"/>
      <c r="E53" s="4798"/>
      <c r="F53" s="1426">
        <v>2800</v>
      </c>
      <c r="G53" s="1425">
        <v>300000</v>
      </c>
      <c r="H53" s="1425"/>
      <c r="I53" s="1427" t="s">
        <v>725</v>
      </c>
      <c r="K53" s="1418"/>
      <c r="L53" s="1418"/>
      <c r="M53" s="1418"/>
      <c r="N53" s="1418"/>
    </row>
    <row r="54" spans="1:14" ht="56.25" customHeight="1" thickBot="1">
      <c r="A54" s="4768"/>
      <c r="B54" s="4767"/>
      <c r="C54" s="4772"/>
      <c r="D54" s="4772"/>
      <c r="E54" s="4798"/>
      <c r="F54" s="1426">
        <v>6220</v>
      </c>
      <c r="G54" s="1425"/>
      <c r="H54" s="1425">
        <v>328000</v>
      </c>
      <c r="I54" s="1427" t="s">
        <v>724</v>
      </c>
      <c r="K54" s="1418"/>
      <c r="L54" s="1418"/>
      <c r="M54" s="1418"/>
      <c r="N54" s="1418"/>
    </row>
    <row r="55" spans="1:14" ht="67.5" customHeight="1" thickBot="1">
      <c r="A55" s="1428">
        <v>29</v>
      </c>
      <c r="B55" s="1427" t="s">
        <v>723</v>
      </c>
      <c r="C55" s="4773"/>
      <c r="D55" s="4773"/>
      <c r="E55" s="4799"/>
      <c r="F55" s="1426">
        <v>6220</v>
      </c>
      <c r="G55" s="1425"/>
      <c r="H55" s="1425">
        <v>100000</v>
      </c>
      <c r="I55" s="1427" t="s">
        <v>722</v>
      </c>
      <c r="K55" s="1418"/>
      <c r="L55" s="1418"/>
      <c r="M55" s="1418"/>
      <c r="N55" s="1418"/>
    </row>
    <row r="56" spans="1:14" ht="36.75" customHeight="1" thickBot="1">
      <c r="A56" s="4768">
        <v>30</v>
      </c>
      <c r="B56" s="4767" t="s">
        <v>721</v>
      </c>
      <c r="C56" s="4771">
        <v>921</v>
      </c>
      <c r="D56" s="4771">
        <v>92118</v>
      </c>
      <c r="E56" s="4797" t="s">
        <v>720</v>
      </c>
      <c r="F56" s="1426">
        <v>2800</v>
      </c>
      <c r="G56" s="1425">
        <v>60300</v>
      </c>
      <c r="H56" s="1425"/>
      <c r="I56" s="1427" t="s">
        <v>719</v>
      </c>
      <c r="K56" s="1418"/>
      <c r="L56" s="1418"/>
      <c r="M56" s="1418"/>
      <c r="N56" s="1418"/>
    </row>
    <row r="57" spans="1:14" ht="144" customHeight="1" thickBot="1">
      <c r="A57" s="4768"/>
      <c r="B57" s="4767"/>
      <c r="C57" s="4772"/>
      <c r="D57" s="4772"/>
      <c r="E57" s="4798"/>
      <c r="F57" s="1426">
        <v>6220</v>
      </c>
      <c r="G57" s="1425"/>
      <c r="H57" s="1425">
        <v>1095000</v>
      </c>
      <c r="I57" s="1427" t="s">
        <v>718</v>
      </c>
      <c r="J57" s="1196"/>
      <c r="K57" s="1418"/>
      <c r="L57" s="1418"/>
      <c r="M57" s="1418"/>
      <c r="N57" s="1418"/>
    </row>
    <row r="58" spans="1:14" ht="66" customHeight="1" thickBot="1">
      <c r="A58" s="1428">
        <v>31</v>
      </c>
      <c r="B58" s="1427" t="s">
        <v>717</v>
      </c>
      <c r="C58" s="4772"/>
      <c r="D58" s="4772"/>
      <c r="E58" s="4798"/>
      <c r="F58" s="1426">
        <v>6220</v>
      </c>
      <c r="G58" s="1425"/>
      <c r="H58" s="1425">
        <v>1710000</v>
      </c>
      <c r="I58" s="1427" t="s">
        <v>716</v>
      </c>
      <c r="J58" s="1196"/>
      <c r="K58" s="1418"/>
      <c r="L58" s="1418"/>
      <c r="M58" s="1418"/>
      <c r="N58" s="1418"/>
    </row>
    <row r="59" spans="1:14" ht="61.5" customHeight="1" thickBot="1">
      <c r="A59" s="4768">
        <v>32</v>
      </c>
      <c r="B59" s="4767" t="s">
        <v>715</v>
      </c>
      <c r="C59" s="4772"/>
      <c r="D59" s="4772"/>
      <c r="E59" s="4798"/>
      <c r="F59" s="1426">
        <v>2800</v>
      </c>
      <c r="G59" s="1425">
        <v>80000</v>
      </c>
      <c r="H59" s="1425"/>
      <c r="I59" s="1427" t="s">
        <v>714</v>
      </c>
      <c r="J59" s="1196"/>
      <c r="K59" s="1418"/>
      <c r="L59" s="1418"/>
      <c r="M59" s="1418"/>
      <c r="N59" s="1418"/>
    </row>
    <row r="60" spans="1:14" ht="108.75" customHeight="1" thickBot="1">
      <c r="A60" s="4768"/>
      <c r="B60" s="4767"/>
      <c r="C60" s="4772"/>
      <c r="D60" s="4772"/>
      <c r="E60" s="4798"/>
      <c r="F60" s="1426">
        <v>6220</v>
      </c>
      <c r="G60" s="1425"/>
      <c r="H60" s="1425">
        <v>1500755</v>
      </c>
      <c r="I60" s="1427" t="s">
        <v>713</v>
      </c>
      <c r="J60" s="1196"/>
      <c r="K60" s="1418"/>
      <c r="L60" s="1418"/>
      <c r="M60" s="1418"/>
      <c r="N60" s="1418"/>
    </row>
    <row r="61" spans="1:14" ht="43.5" customHeight="1" thickBot="1">
      <c r="A61" s="4768">
        <v>33</v>
      </c>
      <c r="B61" s="4767" t="s">
        <v>703</v>
      </c>
      <c r="C61" s="4772"/>
      <c r="D61" s="4772"/>
      <c r="E61" s="4798"/>
      <c r="F61" s="1426">
        <v>2800</v>
      </c>
      <c r="G61" s="1425">
        <v>50000</v>
      </c>
      <c r="H61" s="1425"/>
      <c r="I61" s="1424" t="s">
        <v>712</v>
      </c>
      <c r="K61" s="1418"/>
      <c r="L61" s="1418"/>
      <c r="M61" s="1418"/>
      <c r="N61" s="1418"/>
    </row>
    <row r="62" spans="1:14" ht="49.5" customHeight="1" thickBot="1">
      <c r="A62" s="4768"/>
      <c r="B62" s="4767"/>
      <c r="C62" s="4773"/>
      <c r="D62" s="4773"/>
      <c r="E62" s="4799"/>
      <c r="F62" s="1426">
        <v>6220</v>
      </c>
      <c r="G62" s="1425"/>
      <c r="H62" s="1425">
        <v>95000</v>
      </c>
      <c r="I62" s="1424" t="s">
        <v>711</v>
      </c>
      <c r="J62" s="1196"/>
      <c r="K62" s="1423"/>
      <c r="L62" s="1418"/>
      <c r="M62" s="1418"/>
      <c r="N62" s="1418"/>
    </row>
    <row r="63" spans="1:14" ht="32.25" customHeight="1" thickBot="1">
      <c r="A63" s="4776" t="s">
        <v>655</v>
      </c>
      <c r="B63" s="4776"/>
      <c r="C63" s="4776"/>
      <c r="D63" s="4776"/>
      <c r="E63" s="1422">
        <f>SUM(E51,E49,E47,E46,E42,E40,E38,E26:E37,E17,E7:E16)</f>
        <v>181245587</v>
      </c>
      <c r="F63" s="1421"/>
      <c r="G63" s="1420">
        <f>SUM(G7:G62)</f>
        <v>20475682</v>
      </c>
      <c r="H63" s="1420">
        <f>SUM(H7:H62)</f>
        <v>160769905</v>
      </c>
      <c r="I63" s="1419"/>
      <c r="K63" s="1418"/>
      <c r="L63" s="1418"/>
      <c r="M63" s="1418"/>
      <c r="N63" s="1418"/>
    </row>
    <row r="64" spans="1:14">
      <c r="B64" s="1194"/>
      <c r="C64" s="1194"/>
      <c r="D64" s="1194"/>
      <c r="E64" s="1211"/>
      <c r="F64" s="1194"/>
      <c r="G64" s="1214"/>
      <c r="H64" s="1214"/>
      <c r="I64" s="1194"/>
      <c r="K64" s="1418"/>
      <c r="L64" s="1418"/>
      <c r="M64" s="1418"/>
      <c r="N64" s="1418"/>
    </row>
    <row r="65" spans="2:14">
      <c r="B65" s="1194"/>
      <c r="C65" s="1194"/>
      <c r="D65" s="1194"/>
      <c r="E65" s="1362"/>
      <c r="F65" s="1194"/>
      <c r="G65" s="1214"/>
      <c r="H65" s="1214"/>
      <c r="I65" s="1194"/>
      <c r="K65" s="1418"/>
      <c r="L65" s="1418"/>
      <c r="M65" s="1418"/>
      <c r="N65" s="1418"/>
    </row>
    <row r="66" spans="2:14">
      <c r="B66" s="1194"/>
      <c r="C66" s="1194"/>
      <c r="D66" s="1194"/>
      <c r="E66" s="1211"/>
      <c r="F66" s="1194"/>
      <c r="G66" s="1214"/>
      <c r="H66" s="1194"/>
      <c r="I66" s="1194"/>
      <c r="K66" s="1418"/>
      <c r="L66" s="1418"/>
      <c r="M66" s="1418"/>
      <c r="N66" s="1418"/>
    </row>
    <row r="67" spans="2:14">
      <c r="B67" s="1194"/>
      <c r="C67" s="1194"/>
      <c r="D67" s="1194"/>
      <c r="E67" s="1211"/>
      <c r="F67" s="1194"/>
      <c r="G67" s="1214"/>
      <c r="H67" s="1214"/>
      <c r="I67" s="1194"/>
      <c r="K67" s="1418"/>
      <c r="L67" s="1418"/>
      <c r="M67" s="1418"/>
      <c r="N67" s="1418"/>
    </row>
    <row r="68" spans="2:14">
      <c r="B68" s="1194"/>
      <c r="C68" s="1194"/>
      <c r="D68" s="1194"/>
      <c r="E68" s="1211"/>
      <c r="F68" s="1194"/>
      <c r="G68" s="1194"/>
      <c r="H68" s="1194"/>
      <c r="I68" s="1194"/>
      <c r="K68" s="1418"/>
      <c r="L68" s="1418"/>
      <c r="M68" s="1418"/>
      <c r="N68" s="1418"/>
    </row>
    <row r="69" spans="2:14">
      <c r="B69" s="1194"/>
      <c r="C69" s="1194"/>
      <c r="D69" s="1194"/>
      <c r="E69" s="1211"/>
      <c r="F69" s="1194"/>
      <c r="G69" s="1214"/>
      <c r="H69" s="1214"/>
      <c r="I69" s="1194"/>
      <c r="K69" s="1418"/>
      <c r="L69" s="1418"/>
      <c r="M69" s="1418"/>
      <c r="N69" s="1418"/>
    </row>
    <row r="70" spans="2:14">
      <c r="B70" s="1194"/>
      <c r="C70" s="1194"/>
      <c r="D70" s="1194"/>
      <c r="E70" s="1211"/>
      <c r="F70" s="1194"/>
      <c r="G70" s="1214"/>
      <c r="H70" s="1214"/>
      <c r="I70" s="1194"/>
      <c r="K70" s="1418"/>
      <c r="L70" s="1418"/>
      <c r="M70" s="1418"/>
      <c r="N70" s="1418"/>
    </row>
    <row r="71" spans="2:14" ht="82.5" customHeight="1">
      <c r="B71" s="1194"/>
      <c r="C71" s="1194"/>
      <c r="D71" s="1194"/>
      <c r="E71" s="1362"/>
      <c r="F71" s="1194"/>
      <c r="G71" s="1214"/>
      <c r="H71" s="1214"/>
      <c r="I71" s="1194"/>
      <c r="K71" s="1418"/>
      <c r="L71" s="1418"/>
      <c r="M71" s="1418"/>
      <c r="N71" s="1418"/>
    </row>
    <row r="72" spans="2:14">
      <c r="H72" s="1196"/>
    </row>
    <row r="546" spans="17:17">
      <c r="Q546" s="1195">
        <f>P546-O546</f>
        <v>0</v>
      </c>
    </row>
  </sheetData>
  <sheetProtection algorithmName="SHA-512" hashValue="MWWbY5wVW/k9nxuJV/T9KKPTzjs6ZGT/ezHdBL50i5HRjwz7I0Iyj3+lLaP4+M+979eB6hBYpFMF10KFcXnY/g==" saltValue="dP6Cuo6+7My0J+dEwjtX0A==" spinCount="100000" sheet="1" objects="1" scenarios="1"/>
  <mergeCells count="93">
    <mergeCell ref="E51:E55"/>
    <mergeCell ref="E56:E62"/>
    <mergeCell ref="D47:D48"/>
    <mergeCell ref="E29:E31"/>
    <mergeCell ref="D32:D33"/>
    <mergeCell ref="E32:E33"/>
    <mergeCell ref="E34:E35"/>
    <mergeCell ref="E47:E48"/>
    <mergeCell ref="E49:E50"/>
    <mergeCell ref="E42:E45"/>
    <mergeCell ref="E38:E39"/>
    <mergeCell ref="D40:D41"/>
    <mergeCell ref="E40:E41"/>
    <mergeCell ref="A7:A10"/>
    <mergeCell ref="B7:B10"/>
    <mergeCell ref="C14:C16"/>
    <mergeCell ref="D26:D28"/>
    <mergeCell ref="E26:E28"/>
    <mergeCell ref="E18:E19"/>
    <mergeCell ref="E20:E24"/>
    <mergeCell ref="D18:D19"/>
    <mergeCell ref="D20:D24"/>
    <mergeCell ref="C18:C19"/>
    <mergeCell ref="A11:A13"/>
    <mergeCell ref="B11:B13"/>
    <mergeCell ref="E11:E13"/>
    <mergeCell ref="C7:C10"/>
    <mergeCell ref="D7:D10"/>
    <mergeCell ref="E7:E10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G5:G6"/>
    <mergeCell ref="H5:H6"/>
    <mergeCell ref="A27:A28"/>
    <mergeCell ref="A30:A31"/>
    <mergeCell ref="A34:A35"/>
    <mergeCell ref="C11:C13"/>
    <mergeCell ref="D11:D13"/>
    <mergeCell ref="C20:C24"/>
    <mergeCell ref="B18:B19"/>
    <mergeCell ref="B20:B21"/>
    <mergeCell ref="B22:B23"/>
    <mergeCell ref="A18:A19"/>
    <mergeCell ref="A20:A21"/>
    <mergeCell ref="A22:A23"/>
    <mergeCell ref="B27:B28"/>
    <mergeCell ref="B30:B31"/>
    <mergeCell ref="B34:B35"/>
    <mergeCell ref="D34:D35"/>
    <mergeCell ref="A63:D63"/>
    <mergeCell ref="A61:A62"/>
    <mergeCell ref="B61:B62"/>
    <mergeCell ref="A56:A57"/>
    <mergeCell ref="B56:B57"/>
    <mergeCell ref="A59:A60"/>
    <mergeCell ref="B59:B60"/>
    <mergeCell ref="D56:D62"/>
    <mergeCell ref="C56:C62"/>
    <mergeCell ref="A38:A39"/>
    <mergeCell ref="A51:A52"/>
    <mergeCell ref="D49:D50"/>
    <mergeCell ref="B44:B45"/>
    <mergeCell ref="A47:A48"/>
    <mergeCell ref="C38:C41"/>
    <mergeCell ref="D42:D45"/>
    <mergeCell ref="A40:A41"/>
    <mergeCell ref="B40:B41"/>
    <mergeCell ref="B38:B39"/>
    <mergeCell ref="C51:C55"/>
    <mergeCell ref="A53:A54"/>
    <mergeCell ref="A49:A50"/>
    <mergeCell ref="B49:B50"/>
    <mergeCell ref="A42:A43"/>
    <mergeCell ref="B42:B43"/>
    <mergeCell ref="A44:A45"/>
    <mergeCell ref="B51:B52"/>
    <mergeCell ref="C42:C45"/>
    <mergeCell ref="D51:D55"/>
    <mergeCell ref="B53:B54"/>
    <mergeCell ref="C46:C50"/>
    <mergeCell ref="C25:C28"/>
    <mergeCell ref="C29:C36"/>
    <mergeCell ref="D29:D31"/>
    <mergeCell ref="B47:B48"/>
    <mergeCell ref="D38:D39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83" fitToHeight="0" orientation="landscape" r:id="rId1"/>
  <headerFooter>
    <oddFooter>Strona &amp;P z &amp;N</oddFooter>
  </headerFooter>
  <rowBreaks count="8" manualBreakCount="8">
    <brk id="10" max="8" man="1"/>
    <brk id="17" max="8" man="1"/>
    <brk id="19" max="8" man="1"/>
    <brk id="36" max="8" man="1"/>
    <brk id="41" max="8" man="1"/>
    <brk id="45" max="8" man="1"/>
    <brk id="50" max="8" man="1"/>
    <brk id="55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4B75-F124-43EA-8FF6-86FD6806D43E}">
  <sheetPr>
    <tabColor rgb="FF99FF33"/>
  </sheetPr>
  <dimension ref="A1:Q535"/>
  <sheetViews>
    <sheetView view="pageBreakPreview" topLeftCell="A16" zoomScaleSheetLayoutView="100" workbookViewId="0">
      <selection activeCell="R6" sqref="R6"/>
    </sheetView>
  </sheetViews>
  <sheetFormatPr defaultRowHeight="12.75"/>
  <cols>
    <col min="1" max="1" width="4.140625" style="1195" bestFit="1" customWidth="1"/>
    <col min="2" max="2" width="7.7109375" style="1195" customWidth="1"/>
    <col min="3" max="5" width="12.7109375" style="1195" customWidth="1"/>
    <col min="6" max="6" width="12.5703125" style="1195" customWidth="1"/>
    <col min="7" max="7" width="11.5703125" style="1195" bestFit="1" customWidth="1"/>
    <col min="8" max="8" width="82.28515625" style="1195" customWidth="1"/>
    <col min="9" max="259" width="9.140625" style="1195"/>
    <col min="260" max="260" width="7.140625" style="1195" customWidth="1"/>
    <col min="261" max="261" width="10.42578125" style="1195" customWidth="1"/>
    <col min="262" max="262" width="12.85546875" style="1195" customWidth="1"/>
    <col min="263" max="263" width="13.140625" style="1195" customWidth="1"/>
    <col min="264" max="264" width="61" style="1195" customWidth="1"/>
    <col min="265" max="515" width="9.140625" style="1195"/>
    <col min="516" max="516" width="7.140625" style="1195" customWidth="1"/>
    <col min="517" max="517" width="10.42578125" style="1195" customWidth="1"/>
    <col min="518" max="518" width="12.85546875" style="1195" customWidth="1"/>
    <col min="519" max="519" width="13.140625" style="1195" customWidth="1"/>
    <col min="520" max="520" width="61" style="1195" customWidth="1"/>
    <col min="521" max="771" width="9.140625" style="1195"/>
    <col min="772" max="772" width="7.140625" style="1195" customWidth="1"/>
    <col min="773" max="773" width="10.42578125" style="1195" customWidth="1"/>
    <col min="774" max="774" width="12.85546875" style="1195" customWidth="1"/>
    <col min="775" max="775" width="13.140625" style="1195" customWidth="1"/>
    <col min="776" max="776" width="61" style="1195" customWidth="1"/>
    <col min="777" max="1027" width="9.140625" style="1195"/>
    <col min="1028" max="1028" width="7.140625" style="1195" customWidth="1"/>
    <col min="1029" max="1029" width="10.42578125" style="1195" customWidth="1"/>
    <col min="1030" max="1030" width="12.85546875" style="1195" customWidth="1"/>
    <col min="1031" max="1031" width="13.140625" style="1195" customWidth="1"/>
    <col min="1032" max="1032" width="61" style="1195" customWidth="1"/>
    <col min="1033" max="1283" width="9.140625" style="1195"/>
    <col min="1284" max="1284" width="7.140625" style="1195" customWidth="1"/>
    <col min="1285" max="1285" width="10.42578125" style="1195" customWidth="1"/>
    <col min="1286" max="1286" width="12.85546875" style="1195" customWidth="1"/>
    <col min="1287" max="1287" width="13.140625" style="1195" customWidth="1"/>
    <col min="1288" max="1288" width="61" style="1195" customWidth="1"/>
    <col min="1289" max="1539" width="9.140625" style="1195"/>
    <col min="1540" max="1540" width="7.140625" style="1195" customWidth="1"/>
    <col min="1541" max="1541" width="10.42578125" style="1195" customWidth="1"/>
    <col min="1542" max="1542" width="12.85546875" style="1195" customWidth="1"/>
    <col min="1543" max="1543" width="13.140625" style="1195" customWidth="1"/>
    <col min="1544" max="1544" width="61" style="1195" customWidth="1"/>
    <col min="1545" max="1795" width="9.140625" style="1195"/>
    <col min="1796" max="1796" width="7.140625" style="1195" customWidth="1"/>
    <col min="1797" max="1797" width="10.42578125" style="1195" customWidth="1"/>
    <col min="1798" max="1798" width="12.85546875" style="1195" customWidth="1"/>
    <col min="1799" max="1799" width="13.140625" style="1195" customWidth="1"/>
    <col min="1800" max="1800" width="61" style="1195" customWidth="1"/>
    <col min="1801" max="2051" width="9.140625" style="1195"/>
    <col min="2052" max="2052" width="7.140625" style="1195" customWidth="1"/>
    <col min="2053" max="2053" width="10.42578125" style="1195" customWidth="1"/>
    <col min="2054" max="2054" width="12.85546875" style="1195" customWidth="1"/>
    <col min="2055" max="2055" width="13.140625" style="1195" customWidth="1"/>
    <col min="2056" max="2056" width="61" style="1195" customWidth="1"/>
    <col min="2057" max="2307" width="9.140625" style="1195"/>
    <col min="2308" max="2308" width="7.140625" style="1195" customWidth="1"/>
    <col min="2309" max="2309" width="10.42578125" style="1195" customWidth="1"/>
    <col min="2310" max="2310" width="12.85546875" style="1195" customWidth="1"/>
    <col min="2311" max="2311" width="13.140625" style="1195" customWidth="1"/>
    <col min="2312" max="2312" width="61" style="1195" customWidth="1"/>
    <col min="2313" max="2563" width="9.140625" style="1195"/>
    <col min="2564" max="2564" width="7.140625" style="1195" customWidth="1"/>
    <col min="2565" max="2565" width="10.42578125" style="1195" customWidth="1"/>
    <col min="2566" max="2566" width="12.85546875" style="1195" customWidth="1"/>
    <col min="2567" max="2567" width="13.140625" style="1195" customWidth="1"/>
    <col min="2568" max="2568" width="61" style="1195" customWidth="1"/>
    <col min="2569" max="2819" width="9.140625" style="1195"/>
    <col min="2820" max="2820" width="7.140625" style="1195" customWidth="1"/>
    <col min="2821" max="2821" width="10.42578125" style="1195" customWidth="1"/>
    <col min="2822" max="2822" width="12.85546875" style="1195" customWidth="1"/>
    <col min="2823" max="2823" width="13.140625" style="1195" customWidth="1"/>
    <col min="2824" max="2824" width="61" style="1195" customWidth="1"/>
    <col min="2825" max="3075" width="9.140625" style="1195"/>
    <col min="3076" max="3076" width="7.140625" style="1195" customWidth="1"/>
    <col min="3077" max="3077" width="10.42578125" style="1195" customWidth="1"/>
    <col min="3078" max="3078" width="12.85546875" style="1195" customWidth="1"/>
    <col min="3079" max="3079" width="13.140625" style="1195" customWidth="1"/>
    <col min="3080" max="3080" width="61" style="1195" customWidth="1"/>
    <col min="3081" max="3331" width="9.140625" style="1195"/>
    <col min="3332" max="3332" width="7.140625" style="1195" customWidth="1"/>
    <col min="3333" max="3333" width="10.42578125" style="1195" customWidth="1"/>
    <col min="3334" max="3334" width="12.85546875" style="1195" customWidth="1"/>
    <col min="3335" max="3335" width="13.140625" style="1195" customWidth="1"/>
    <col min="3336" max="3336" width="61" style="1195" customWidth="1"/>
    <col min="3337" max="3587" width="9.140625" style="1195"/>
    <col min="3588" max="3588" width="7.140625" style="1195" customWidth="1"/>
    <col min="3589" max="3589" width="10.42578125" style="1195" customWidth="1"/>
    <col min="3590" max="3590" width="12.85546875" style="1195" customWidth="1"/>
    <col min="3591" max="3591" width="13.140625" style="1195" customWidth="1"/>
    <col min="3592" max="3592" width="61" style="1195" customWidth="1"/>
    <col min="3593" max="3843" width="9.140625" style="1195"/>
    <col min="3844" max="3844" width="7.140625" style="1195" customWidth="1"/>
    <col min="3845" max="3845" width="10.42578125" style="1195" customWidth="1"/>
    <col min="3846" max="3846" width="12.85546875" style="1195" customWidth="1"/>
    <col min="3847" max="3847" width="13.140625" style="1195" customWidth="1"/>
    <col min="3848" max="3848" width="61" style="1195" customWidth="1"/>
    <col min="3849" max="4099" width="9.140625" style="1195"/>
    <col min="4100" max="4100" width="7.140625" style="1195" customWidth="1"/>
    <col min="4101" max="4101" width="10.42578125" style="1195" customWidth="1"/>
    <col min="4102" max="4102" width="12.85546875" style="1195" customWidth="1"/>
    <col min="4103" max="4103" width="13.140625" style="1195" customWidth="1"/>
    <col min="4104" max="4104" width="61" style="1195" customWidth="1"/>
    <col min="4105" max="4355" width="9.140625" style="1195"/>
    <col min="4356" max="4356" width="7.140625" style="1195" customWidth="1"/>
    <col min="4357" max="4357" width="10.42578125" style="1195" customWidth="1"/>
    <col min="4358" max="4358" width="12.85546875" style="1195" customWidth="1"/>
    <col min="4359" max="4359" width="13.140625" style="1195" customWidth="1"/>
    <col min="4360" max="4360" width="61" style="1195" customWidth="1"/>
    <col min="4361" max="4611" width="9.140625" style="1195"/>
    <col min="4612" max="4612" width="7.140625" style="1195" customWidth="1"/>
    <col min="4613" max="4613" width="10.42578125" style="1195" customWidth="1"/>
    <col min="4614" max="4614" width="12.85546875" style="1195" customWidth="1"/>
    <col min="4615" max="4615" width="13.140625" style="1195" customWidth="1"/>
    <col min="4616" max="4616" width="61" style="1195" customWidth="1"/>
    <col min="4617" max="4867" width="9.140625" style="1195"/>
    <col min="4868" max="4868" width="7.140625" style="1195" customWidth="1"/>
    <col min="4869" max="4869" width="10.42578125" style="1195" customWidth="1"/>
    <col min="4870" max="4870" width="12.85546875" style="1195" customWidth="1"/>
    <col min="4871" max="4871" width="13.140625" style="1195" customWidth="1"/>
    <col min="4872" max="4872" width="61" style="1195" customWidth="1"/>
    <col min="4873" max="5123" width="9.140625" style="1195"/>
    <col min="5124" max="5124" width="7.140625" style="1195" customWidth="1"/>
    <col min="5125" max="5125" width="10.42578125" style="1195" customWidth="1"/>
    <col min="5126" max="5126" width="12.85546875" style="1195" customWidth="1"/>
    <col min="5127" max="5127" width="13.140625" style="1195" customWidth="1"/>
    <col min="5128" max="5128" width="61" style="1195" customWidth="1"/>
    <col min="5129" max="5379" width="9.140625" style="1195"/>
    <col min="5380" max="5380" width="7.140625" style="1195" customWidth="1"/>
    <col min="5381" max="5381" width="10.42578125" style="1195" customWidth="1"/>
    <col min="5382" max="5382" width="12.85546875" style="1195" customWidth="1"/>
    <col min="5383" max="5383" width="13.140625" style="1195" customWidth="1"/>
    <col min="5384" max="5384" width="61" style="1195" customWidth="1"/>
    <col min="5385" max="5635" width="9.140625" style="1195"/>
    <col min="5636" max="5636" width="7.140625" style="1195" customWidth="1"/>
    <col min="5637" max="5637" width="10.42578125" style="1195" customWidth="1"/>
    <col min="5638" max="5638" width="12.85546875" style="1195" customWidth="1"/>
    <col min="5639" max="5639" width="13.140625" style="1195" customWidth="1"/>
    <col min="5640" max="5640" width="61" style="1195" customWidth="1"/>
    <col min="5641" max="5891" width="9.140625" style="1195"/>
    <col min="5892" max="5892" width="7.140625" style="1195" customWidth="1"/>
    <col min="5893" max="5893" width="10.42578125" style="1195" customWidth="1"/>
    <col min="5894" max="5894" width="12.85546875" style="1195" customWidth="1"/>
    <col min="5895" max="5895" width="13.140625" style="1195" customWidth="1"/>
    <col min="5896" max="5896" width="61" style="1195" customWidth="1"/>
    <col min="5897" max="6147" width="9.140625" style="1195"/>
    <col min="6148" max="6148" width="7.140625" style="1195" customWidth="1"/>
    <col min="6149" max="6149" width="10.42578125" style="1195" customWidth="1"/>
    <col min="6150" max="6150" width="12.85546875" style="1195" customWidth="1"/>
    <col min="6151" max="6151" width="13.140625" style="1195" customWidth="1"/>
    <col min="6152" max="6152" width="61" style="1195" customWidth="1"/>
    <col min="6153" max="6403" width="9.140625" style="1195"/>
    <col min="6404" max="6404" width="7.140625" style="1195" customWidth="1"/>
    <col min="6405" max="6405" width="10.42578125" style="1195" customWidth="1"/>
    <col min="6406" max="6406" width="12.85546875" style="1195" customWidth="1"/>
    <col min="6407" max="6407" width="13.140625" style="1195" customWidth="1"/>
    <col min="6408" max="6408" width="61" style="1195" customWidth="1"/>
    <col min="6409" max="6659" width="9.140625" style="1195"/>
    <col min="6660" max="6660" width="7.140625" style="1195" customWidth="1"/>
    <col min="6661" max="6661" width="10.42578125" style="1195" customWidth="1"/>
    <col min="6662" max="6662" width="12.85546875" style="1195" customWidth="1"/>
    <col min="6663" max="6663" width="13.140625" style="1195" customWidth="1"/>
    <col min="6664" max="6664" width="61" style="1195" customWidth="1"/>
    <col min="6665" max="6915" width="9.140625" style="1195"/>
    <col min="6916" max="6916" width="7.140625" style="1195" customWidth="1"/>
    <col min="6917" max="6917" width="10.42578125" style="1195" customWidth="1"/>
    <col min="6918" max="6918" width="12.85546875" style="1195" customWidth="1"/>
    <col min="6919" max="6919" width="13.140625" style="1195" customWidth="1"/>
    <col min="6920" max="6920" width="61" style="1195" customWidth="1"/>
    <col min="6921" max="7171" width="9.140625" style="1195"/>
    <col min="7172" max="7172" width="7.140625" style="1195" customWidth="1"/>
    <col min="7173" max="7173" width="10.42578125" style="1195" customWidth="1"/>
    <col min="7174" max="7174" width="12.85546875" style="1195" customWidth="1"/>
    <col min="7175" max="7175" width="13.140625" style="1195" customWidth="1"/>
    <col min="7176" max="7176" width="61" style="1195" customWidth="1"/>
    <col min="7177" max="7427" width="9.140625" style="1195"/>
    <col min="7428" max="7428" width="7.140625" style="1195" customWidth="1"/>
    <col min="7429" max="7429" width="10.42578125" style="1195" customWidth="1"/>
    <col min="7430" max="7430" width="12.85546875" style="1195" customWidth="1"/>
    <col min="7431" max="7431" width="13.140625" style="1195" customWidth="1"/>
    <col min="7432" max="7432" width="61" style="1195" customWidth="1"/>
    <col min="7433" max="7683" width="9.140625" style="1195"/>
    <col min="7684" max="7684" width="7.140625" style="1195" customWidth="1"/>
    <col min="7685" max="7685" width="10.42578125" style="1195" customWidth="1"/>
    <col min="7686" max="7686" width="12.85546875" style="1195" customWidth="1"/>
    <col min="7687" max="7687" width="13.140625" style="1195" customWidth="1"/>
    <col min="7688" max="7688" width="61" style="1195" customWidth="1"/>
    <col min="7689" max="7939" width="9.140625" style="1195"/>
    <col min="7940" max="7940" width="7.140625" style="1195" customWidth="1"/>
    <col min="7941" max="7941" width="10.42578125" style="1195" customWidth="1"/>
    <col min="7942" max="7942" width="12.85546875" style="1195" customWidth="1"/>
    <col min="7943" max="7943" width="13.140625" style="1195" customWidth="1"/>
    <col min="7944" max="7944" width="61" style="1195" customWidth="1"/>
    <col min="7945" max="8195" width="9.140625" style="1195"/>
    <col min="8196" max="8196" width="7.140625" style="1195" customWidth="1"/>
    <col min="8197" max="8197" width="10.42578125" style="1195" customWidth="1"/>
    <col min="8198" max="8198" width="12.85546875" style="1195" customWidth="1"/>
    <col min="8199" max="8199" width="13.140625" style="1195" customWidth="1"/>
    <col min="8200" max="8200" width="61" style="1195" customWidth="1"/>
    <col min="8201" max="8451" width="9.140625" style="1195"/>
    <col min="8452" max="8452" width="7.140625" style="1195" customWidth="1"/>
    <col min="8453" max="8453" width="10.42578125" style="1195" customWidth="1"/>
    <col min="8454" max="8454" width="12.85546875" style="1195" customWidth="1"/>
    <col min="8455" max="8455" width="13.140625" style="1195" customWidth="1"/>
    <col min="8456" max="8456" width="61" style="1195" customWidth="1"/>
    <col min="8457" max="8707" width="9.140625" style="1195"/>
    <col min="8708" max="8708" width="7.140625" style="1195" customWidth="1"/>
    <col min="8709" max="8709" width="10.42578125" style="1195" customWidth="1"/>
    <col min="8710" max="8710" width="12.85546875" style="1195" customWidth="1"/>
    <col min="8711" max="8711" width="13.140625" style="1195" customWidth="1"/>
    <col min="8712" max="8712" width="61" style="1195" customWidth="1"/>
    <col min="8713" max="8963" width="9.140625" style="1195"/>
    <col min="8964" max="8964" width="7.140625" style="1195" customWidth="1"/>
    <col min="8965" max="8965" width="10.42578125" style="1195" customWidth="1"/>
    <col min="8966" max="8966" width="12.85546875" style="1195" customWidth="1"/>
    <col min="8967" max="8967" width="13.140625" style="1195" customWidth="1"/>
    <col min="8968" max="8968" width="61" style="1195" customWidth="1"/>
    <col min="8969" max="9219" width="9.140625" style="1195"/>
    <col min="9220" max="9220" width="7.140625" style="1195" customWidth="1"/>
    <col min="9221" max="9221" width="10.42578125" style="1195" customWidth="1"/>
    <col min="9222" max="9222" width="12.85546875" style="1195" customWidth="1"/>
    <col min="9223" max="9223" width="13.140625" style="1195" customWidth="1"/>
    <col min="9224" max="9224" width="61" style="1195" customWidth="1"/>
    <col min="9225" max="9475" width="9.140625" style="1195"/>
    <col min="9476" max="9476" width="7.140625" style="1195" customWidth="1"/>
    <col min="9477" max="9477" width="10.42578125" style="1195" customWidth="1"/>
    <col min="9478" max="9478" width="12.85546875" style="1195" customWidth="1"/>
    <col min="9479" max="9479" width="13.140625" style="1195" customWidth="1"/>
    <col min="9480" max="9480" width="61" style="1195" customWidth="1"/>
    <col min="9481" max="9731" width="9.140625" style="1195"/>
    <col min="9732" max="9732" width="7.140625" style="1195" customWidth="1"/>
    <col min="9733" max="9733" width="10.42578125" style="1195" customWidth="1"/>
    <col min="9734" max="9734" width="12.85546875" style="1195" customWidth="1"/>
    <col min="9735" max="9735" width="13.140625" style="1195" customWidth="1"/>
    <col min="9736" max="9736" width="61" style="1195" customWidth="1"/>
    <col min="9737" max="9987" width="9.140625" style="1195"/>
    <col min="9988" max="9988" width="7.140625" style="1195" customWidth="1"/>
    <col min="9989" max="9989" width="10.42578125" style="1195" customWidth="1"/>
    <col min="9990" max="9990" width="12.85546875" style="1195" customWidth="1"/>
    <col min="9991" max="9991" width="13.140625" style="1195" customWidth="1"/>
    <col min="9992" max="9992" width="61" style="1195" customWidth="1"/>
    <col min="9993" max="10243" width="9.140625" style="1195"/>
    <col min="10244" max="10244" width="7.140625" style="1195" customWidth="1"/>
    <col min="10245" max="10245" width="10.42578125" style="1195" customWidth="1"/>
    <col min="10246" max="10246" width="12.85546875" style="1195" customWidth="1"/>
    <col min="10247" max="10247" width="13.140625" style="1195" customWidth="1"/>
    <col min="10248" max="10248" width="61" style="1195" customWidth="1"/>
    <col min="10249" max="10499" width="9.140625" style="1195"/>
    <col min="10500" max="10500" width="7.140625" style="1195" customWidth="1"/>
    <col min="10501" max="10501" width="10.42578125" style="1195" customWidth="1"/>
    <col min="10502" max="10502" width="12.85546875" style="1195" customWidth="1"/>
    <col min="10503" max="10503" width="13.140625" style="1195" customWidth="1"/>
    <col min="10504" max="10504" width="61" style="1195" customWidth="1"/>
    <col min="10505" max="10755" width="9.140625" style="1195"/>
    <col min="10756" max="10756" width="7.140625" style="1195" customWidth="1"/>
    <col min="10757" max="10757" width="10.42578125" style="1195" customWidth="1"/>
    <col min="10758" max="10758" width="12.85546875" style="1195" customWidth="1"/>
    <col min="10759" max="10759" width="13.140625" style="1195" customWidth="1"/>
    <col min="10760" max="10760" width="61" style="1195" customWidth="1"/>
    <col min="10761" max="11011" width="9.140625" style="1195"/>
    <col min="11012" max="11012" width="7.140625" style="1195" customWidth="1"/>
    <col min="11013" max="11013" width="10.42578125" style="1195" customWidth="1"/>
    <col min="11014" max="11014" width="12.85546875" style="1195" customWidth="1"/>
    <col min="11015" max="11015" width="13.140625" style="1195" customWidth="1"/>
    <col min="11016" max="11016" width="61" style="1195" customWidth="1"/>
    <col min="11017" max="11267" width="9.140625" style="1195"/>
    <col min="11268" max="11268" width="7.140625" style="1195" customWidth="1"/>
    <col min="11269" max="11269" width="10.42578125" style="1195" customWidth="1"/>
    <col min="11270" max="11270" width="12.85546875" style="1195" customWidth="1"/>
    <col min="11271" max="11271" width="13.140625" style="1195" customWidth="1"/>
    <col min="11272" max="11272" width="61" style="1195" customWidth="1"/>
    <col min="11273" max="11523" width="9.140625" style="1195"/>
    <col min="11524" max="11524" width="7.140625" style="1195" customWidth="1"/>
    <col min="11525" max="11525" width="10.42578125" style="1195" customWidth="1"/>
    <col min="11526" max="11526" width="12.85546875" style="1195" customWidth="1"/>
    <col min="11527" max="11527" width="13.140625" style="1195" customWidth="1"/>
    <col min="11528" max="11528" width="61" style="1195" customWidth="1"/>
    <col min="11529" max="11779" width="9.140625" style="1195"/>
    <col min="11780" max="11780" width="7.140625" style="1195" customWidth="1"/>
    <col min="11781" max="11781" width="10.42578125" style="1195" customWidth="1"/>
    <col min="11782" max="11782" width="12.85546875" style="1195" customWidth="1"/>
    <col min="11783" max="11783" width="13.140625" style="1195" customWidth="1"/>
    <col min="11784" max="11784" width="61" style="1195" customWidth="1"/>
    <col min="11785" max="12035" width="9.140625" style="1195"/>
    <col min="12036" max="12036" width="7.140625" style="1195" customWidth="1"/>
    <col min="12037" max="12037" width="10.42578125" style="1195" customWidth="1"/>
    <col min="12038" max="12038" width="12.85546875" style="1195" customWidth="1"/>
    <col min="12039" max="12039" width="13.140625" style="1195" customWidth="1"/>
    <col min="12040" max="12040" width="61" style="1195" customWidth="1"/>
    <col min="12041" max="12291" width="9.140625" style="1195"/>
    <col min="12292" max="12292" width="7.140625" style="1195" customWidth="1"/>
    <col min="12293" max="12293" width="10.42578125" style="1195" customWidth="1"/>
    <col min="12294" max="12294" width="12.85546875" style="1195" customWidth="1"/>
    <col min="12295" max="12295" width="13.140625" style="1195" customWidth="1"/>
    <col min="12296" max="12296" width="61" style="1195" customWidth="1"/>
    <col min="12297" max="12547" width="9.140625" style="1195"/>
    <col min="12548" max="12548" width="7.140625" style="1195" customWidth="1"/>
    <col min="12549" max="12549" width="10.42578125" style="1195" customWidth="1"/>
    <col min="12550" max="12550" width="12.85546875" style="1195" customWidth="1"/>
    <col min="12551" max="12551" width="13.140625" style="1195" customWidth="1"/>
    <col min="12552" max="12552" width="61" style="1195" customWidth="1"/>
    <col min="12553" max="12803" width="9.140625" style="1195"/>
    <col min="12804" max="12804" width="7.140625" style="1195" customWidth="1"/>
    <col min="12805" max="12805" width="10.42578125" style="1195" customWidth="1"/>
    <col min="12806" max="12806" width="12.85546875" style="1195" customWidth="1"/>
    <col min="12807" max="12807" width="13.140625" style="1195" customWidth="1"/>
    <col min="12808" max="12808" width="61" style="1195" customWidth="1"/>
    <col min="12809" max="13059" width="9.140625" style="1195"/>
    <col min="13060" max="13060" width="7.140625" style="1195" customWidth="1"/>
    <col min="13061" max="13061" width="10.42578125" style="1195" customWidth="1"/>
    <col min="13062" max="13062" width="12.85546875" style="1195" customWidth="1"/>
    <col min="13063" max="13063" width="13.140625" style="1195" customWidth="1"/>
    <col min="13064" max="13064" width="61" style="1195" customWidth="1"/>
    <col min="13065" max="13315" width="9.140625" style="1195"/>
    <col min="13316" max="13316" width="7.140625" style="1195" customWidth="1"/>
    <col min="13317" max="13317" width="10.42578125" style="1195" customWidth="1"/>
    <col min="13318" max="13318" width="12.85546875" style="1195" customWidth="1"/>
    <col min="13319" max="13319" width="13.140625" style="1195" customWidth="1"/>
    <col min="13320" max="13320" width="61" style="1195" customWidth="1"/>
    <col min="13321" max="13571" width="9.140625" style="1195"/>
    <col min="13572" max="13572" width="7.140625" style="1195" customWidth="1"/>
    <col min="13573" max="13573" width="10.42578125" style="1195" customWidth="1"/>
    <col min="13574" max="13574" width="12.85546875" style="1195" customWidth="1"/>
    <col min="13575" max="13575" width="13.140625" style="1195" customWidth="1"/>
    <col min="13576" max="13576" width="61" style="1195" customWidth="1"/>
    <col min="13577" max="13827" width="9.140625" style="1195"/>
    <col min="13828" max="13828" width="7.140625" style="1195" customWidth="1"/>
    <col min="13829" max="13829" width="10.42578125" style="1195" customWidth="1"/>
    <col min="13830" max="13830" width="12.85546875" style="1195" customWidth="1"/>
    <col min="13831" max="13831" width="13.140625" style="1195" customWidth="1"/>
    <col min="13832" max="13832" width="61" style="1195" customWidth="1"/>
    <col min="13833" max="14083" width="9.140625" style="1195"/>
    <col min="14084" max="14084" width="7.140625" style="1195" customWidth="1"/>
    <col min="14085" max="14085" width="10.42578125" style="1195" customWidth="1"/>
    <col min="14086" max="14086" width="12.85546875" style="1195" customWidth="1"/>
    <col min="14087" max="14087" width="13.140625" style="1195" customWidth="1"/>
    <col min="14088" max="14088" width="61" style="1195" customWidth="1"/>
    <col min="14089" max="14339" width="9.140625" style="1195"/>
    <col min="14340" max="14340" width="7.140625" style="1195" customWidth="1"/>
    <col min="14341" max="14341" width="10.42578125" style="1195" customWidth="1"/>
    <col min="14342" max="14342" width="12.85546875" style="1195" customWidth="1"/>
    <col min="14343" max="14343" width="13.140625" style="1195" customWidth="1"/>
    <col min="14344" max="14344" width="61" style="1195" customWidth="1"/>
    <col min="14345" max="14595" width="9.140625" style="1195"/>
    <col min="14596" max="14596" width="7.140625" style="1195" customWidth="1"/>
    <col min="14597" max="14597" width="10.42578125" style="1195" customWidth="1"/>
    <col min="14598" max="14598" width="12.85546875" style="1195" customWidth="1"/>
    <col min="14599" max="14599" width="13.140625" style="1195" customWidth="1"/>
    <col min="14600" max="14600" width="61" style="1195" customWidth="1"/>
    <col min="14601" max="14851" width="9.140625" style="1195"/>
    <col min="14852" max="14852" width="7.140625" style="1195" customWidth="1"/>
    <col min="14853" max="14853" width="10.42578125" style="1195" customWidth="1"/>
    <col min="14854" max="14854" width="12.85546875" style="1195" customWidth="1"/>
    <col min="14855" max="14855" width="13.140625" style="1195" customWidth="1"/>
    <col min="14856" max="14856" width="61" style="1195" customWidth="1"/>
    <col min="14857" max="15107" width="9.140625" style="1195"/>
    <col min="15108" max="15108" width="7.140625" style="1195" customWidth="1"/>
    <col min="15109" max="15109" width="10.42578125" style="1195" customWidth="1"/>
    <col min="15110" max="15110" width="12.85546875" style="1195" customWidth="1"/>
    <col min="15111" max="15111" width="13.140625" style="1195" customWidth="1"/>
    <col min="15112" max="15112" width="61" style="1195" customWidth="1"/>
    <col min="15113" max="15363" width="9.140625" style="1195"/>
    <col min="15364" max="15364" width="7.140625" style="1195" customWidth="1"/>
    <col min="15365" max="15365" width="10.42578125" style="1195" customWidth="1"/>
    <col min="15366" max="15366" width="12.85546875" style="1195" customWidth="1"/>
    <col min="15367" max="15367" width="13.140625" style="1195" customWidth="1"/>
    <col min="15368" max="15368" width="61" style="1195" customWidth="1"/>
    <col min="15369" max="15619" width="9.140625" style="1195"/>
    <col min="15620" max="15620" width="7.140625" style="1195" customWidth="1"/>
    <col min="15621" max="15621" width="10.42578125" style="1195" customWidth="1"/>
    <col min="15622" max="15622" width="12.85546875" style="1195" customWidth="1"/>
    <col min="15623" max="15623" width="13.140625" style="1195" customWidth="1"/>
    <col min="15624" max="15624" width="61" style="1195" customWidth="1"/>
    <col min="15625" max="15875" width="9.140625" style="1195"/>
    <col min="15876" max="15876" width="7.140625" style="1195" customWidth="1"/>
    <col min="15877" max="15877" width="10.42578125" style="1195" customWidth="1"/>
    <col min="15878" max="15878" width="12.85546875" style="1195" customWidth="1"/>
    <col min="15879" max="15879" width="13.140625" style="1195" customWidth="1"/>
    <col min="15880" max="15880" width="61" style="1195" customWidth="1"/>
    <col min="15881" max="16131" width="9.140625" style="1195"/>
    <col min="16132" max="16132" width="7.140625" style="1195" customWidth="1"/>
    <col min="16133" max="16133" width="10.42578125" style="1195" customWidth="1"/>
    <col min="16134" max="16134" width="12.85546875" style="1195" customWidth="1"/>
    <col min="16135" max="16135" width="13.140625" style="1195" customWidth="1"/>
    <col min="16136" max="16136" width="61" style="1195" customWidth="1"/>
    <col min="16137" max="16384" width="9.140625" style="1195"/>
  </cols>
  <sheetData>
    <row r="1" spans="1:8" s="1436" customFormat="1" ht="60" customHeight="1">
      <c r="B1" s="4801"/>
      <c r="C1" s="4801"/>
      <c r="D1" s="4801"/>
      <c r="E1" s="4801"/>
      <c r="F1" s="4802"/>
      <c r="G1" s="1568"/>
      <c r="H1" s="1567" t="s">
        <v>1454</v>
      </c>
    </row>
    <row r="2" spans="1:8" s="1436" customFormat="1" ht="51.75" customHeight="1" thickBot="1">
      <c r="A2" s="4785" t="s">
        <v>846</v>
      </c>
      <c r="B2" s="4785"/>
      <c r="C2" s="4785"/>
      <c r="D2" s="4785"/>
      <c r="E2" s="4785"/>
      <c r="F2" s="4785"/>
      <c r="G2" s="4785"/>
      <c r="H2" s="4785"/>
    </row>
    <row r="3" spans="1:8" s="1436" customFormat="1" ht="36" customHeight="1" thickBot="1">
      <c r="A3" s="4803" t="s">
        <v>653</v>
      </c>
      <c r="B3" s="4786" t="s">
        <v>2</v>
      </c>
      <c r="C3" s="4786" t="s">
        <v>651</v>
      </c>
      <c r="D3" s="4804" t="s">
        <v>5</v>
      </c>
      <c r="E3" s="4805" t="s">
        <v>845</v>
      </c>
      <c r="F3" s="4807" t="s">
        <v>412</v>
      </c>
      <c r="G3" s="4808"/>
      <c r="H3" s="4809" t="s">
        <v>661</v>
      </c>
    </row>
    <row r="4" spans="1:8" s="1436" customFormat="1" ht="24" customHeight="1" thickBot="1">
      <c r="A4" s="4803"/>
      <c r="B4" s="4786"/>
      <c r="C4" s="4786"/>
      <c r="D4" s="4804"/>
      <c r="E4" s="4806"/>
      <c r="F4" s="1566" t="s">
        <v>844</v>
      </c>
      <c r="G4" s="1565" t="s">
        <v>659</v>
      </c>
      <c r="H4" s="4810"/>
    </row>
    <row r="5" spans="1:8" ht="62.25" customHeight="1" thickBot="1">
      <c r="A5" s="1564">
        <v>1</v>
      </c>
      <c r="B5" s="1563" t="s">
        <v>21</v>
      </c>
      <c r="C5" s="1563" t="s">
        <v>49</v>
      </c>
      <c r="D5" s="1562">
        <v>2360</v>
      </c>
      <c r="E5" s="1515">
        <f t="shared" ref="E5:E25" si="0">SUM(F5:G5)</f>
        <v>3371500</v>
      </c>
      <c r="F5" s="1555">
        <v>3371500</v>
      </c>
      <c r="G5" s="1561">
        <v>0</v>
      </c>
      <c r="H5" s="1560" t="s">
        <v>843</v>
      </c>
    </row>
    <row r="6" spans="1:8" s="1194" customFormat="1" ht="68.25" customHeight="1" thickBot="1">
      <c r="A6" s="1524">
        <v>2</v>
      </c>
      <c r="B6" s="1517" t="s">
        <v>794</v>
      </c>
      <c r="C6" s="1517" t="s">
        <v>617</v>
      </c>
      <c r="D6" s="1556">
        <v>2830</v>
      </c>
      <c r="E6" s="1515">
        <f t="shared" si="0"/>
        <v>137138206</v>
      </c>
      <c r="F6" s="1555">
        <v>137138206</v>
      </c>
      <c r="G6" s="1554">
        <v>0</v>
      </c>
      <c r="H6" s="1553" t="s">
        <v>842</v>
      </c>
    </row>
    <row r="7" spans="1:8" s="1436" customFormat="1" ht="51.75" customHeight="1" thickBot="1">
      <c r="A7" s="1524">
        <v>3</v>
      </c>
      <c r="B7" s="1517" t="s">
        <v>841</v>
      </c>
      <c r="C7" s="1522" t="s">
        <v>840</v>
      </c>
      <c r="D7" s="1559">
        <v>2360</v>
      </c>
      <c r="E7" s="1520">
        <f t="shared" si="0"/>
        <v>1568600</v>
      </c>
      <c r="F7" s="1558">
        <v>1568600</v>
      </c>
      <c r="G7" s="1523">
        <v>0</v>
      </c>
      <c r="H7" s="1557" t="s">
        <v>839</v>
      </c>
    </row>
    <row r="8" spans="1:8" s="1194" customFormat="1" ht="18.75" customHeight="1" thickBot="1">
      <c r="A8" s="1524">
        <v>4</v>
      </c>
      <c r="B8" s="1517" t="s">
        <v>838</v>
      </c>
      <c r="C8" s="1517" t="s">
        <v>610</v>
      </c>
      <c r="D8" s="1556">
        <v>2360</v>
      </c>
      <c r="E8" s="1515">
        <f t="shared" si="0"/>
        <v>55000</v>
      </c>
      <c r="F8" s="1555">
        <v>55000</v>
      </c>
      <c r="G8" s="1554">
        <v>0</v>
      </c>
      <c r="H8" s="1553" t="s">
        <v>837</v>
      </c>
    </row>
    <row r="9" spans="1:8" s="1436" customFormat="1" ht="21" customHeight="1" thickBot="1">
      <c r="A9" s="1552">
        <v>5</v>
      </c>
      <c r="B9" s="1552">
        <v>754</v>
      </c>
      <c r="C9" s="1551">
        <v>75415</v>
      </c>
      <c r="D9" s="1550">
        <v>2360</v>
      </c>
      <c r="E9" s="1508">
        <f t="shared" si="0"/>
        <v>578600</v>
      </c>
      <c r="F9" s="1549">
        <v>578600</v>
      </c>
      <c r="G9" s="1508">
        <v>0</v>
      </c>
      <c r="H9" s="1548" t="s">
        <v>836</v>
      </c>
    </row>
    <row r="10" spans="1:8" s="1436" customFormat="1" ht="49.5" customHeight="1">
      <c r="A10" s="4815">
        <v>6</v>
      </c>
      <c r="B10" s="4813" t="s">
        <v>835</v>
      </c>
      <c r="C10" s="1535" t="s">
        <v>834</v>
      </c>
      <c r="D10" s="1534">
        <v>2360</v>
      </c>
      <c r="E10" s="1508">
        <f t="shared" si="0"/>
        <v>150000</v>
      </c>
      <c r="F10" s="1533">
        <v>150000</v>
      </c>
      <c r="G10" s="1532">
        <v>0</v>
      </c>
      <c r="H10" s="1547" t="s">
        <v>833</v>
      </c>
    </row>
    <row r="11" spans="1:8" s="1436" customFormat="1" ht="49.5" customHeight="1">
      <c r="A11" s="4816"/>
      <c r="B11" s="4818"/>
      <c r="C11" s="1546" t="s">
        <v>832</v>
      </c>
      <c r="D11" s="1545">
        <v>2360</v>
      </c>
      <c r="E11" s="1544">
        <f t="shared" si="0"/>
        <v>268200</v>
      </c>
      <c r="F11" s="1543">
        <v>268200</v>
      </c>
      <c r="G11" s="1542">
        <v>0</v>
      </c>
      <c r="H11" s="1541" t="s">
        <v>831</v>
      </c>
    </row>
    <row r="12" spans="1:8" s="1436" customFormat="1" ht="38.25" customHeight="1" thickBot="1">
      <c r="A12" s="4817"/>
      <c r="B12" s="4814"/>
      <c r="C12" s="1540" t="s">
        <v>603</v>
      </c>
      <c r="D12" s="1539">
        <v>2360</v>
      </c>
      <c r="E12" s="1538">
        <f t="shared" si="0"/>
        <v>90000</v>
      </c>
      <c r="F12" s="1537">
        <v>90000</v>
      </c>
      <c r="G12" s="1536">
        <v>0</v>
      </c>
      <c r="H12" s="1505" t="s">
        <v>830</v>
      </c>
    </row>
    <row r="13" spans="1:8" ht="34.5" customHeight="1">
      <c r="A13" s="4815">
        <v>7</v>
      </c>
      <c r="B13" s="4819" t="s">
        <v>829</v>
      </c>
      <c r="C13" s="1535" t="s">
        <v>828</v>
      </c>
      <c r="D13" s="1534">
        <v>2360</v>
      </c>
      <c r="E13" s="1508">
        <f t="shared" si="0"/>
        <v>200000</v>
      </c>
      <c r="F13" s="1533">
        <v>200000</v>
      </c>
      <c r="G13" s="1532">
        <v>0</v>
      </c>
      <c r="H13" s="1531" t="s">
        <v>827</v>
      </c>
    </row>
    <row r="14" spans="1:8" ht="41.25" customHeight="1" thickBot="1">
      <c r="A14" s="4817"/>
      <c r="B14" s="4820"/>
      <c r="C14" s="1530" t="s">
        <v>826</v>
      </c>
      <c r="D14" s="1529">
        <v>2360</v>
      </c>
      <c r="E14" s="1528">
        <f t="shared" si="0"/>
        <v>950000</v>
      </c>
      <c r="F14" s="1527">
        <v>950000</v>
      </c>
      <c r="G14" s="1526">
        <v>0</v>
      </c>
      <c r="H14" s="1525" t="s">
        <v>825</v>
      </c>
    </row>
    <row r="15" spans="1:8" ht="63" customHeight="1" thickBot="1">
      <c r="A15" s="1524">
        <v>8</v>
      </c>
      <c r="B15" s="1517" t="s">
        <v>824</v>
      </c>
      <c r="C15" s="1522" t="s">
        <v>823</v>
      </c>
      <c r="D15" s="1521">
        <v>2360</v>
      </c>
      <c r="E15" s="1523">
        <f t="shared" si="0"/>
        <v>880000</v>
      </c>
      <c r="F15" s="1519">
        <v>880000</v>
      </c>
      <c r="G15" s="1518">
        <v>0</v>
      </c>
      <c r="H15" s="1511" t="s">
        <v>822</v>
      </c>
    </row>
    <row r="16" spans="1:8" ht="46.5" customHeight="1" thickBot="1">
      <c r="A16" s="4821">
        <v>9</v>
      </c>
      <c r="B16" s="4813" t="s">
        <v>821</v>
      </c>
      <c r="C16" s="1522" t="s">
        <v>820</v>
      </c>
      <c r="D16" s="1521">
        <v>2360</v>
      </c>
      <c r="E16" s="1520">
        <f t="shared" si="0"/>
        <v>275000</v>
      </c>
      <c r="F16" s="1519">
        <v>275000</v>
      </c>
      <c r="G16" s="1518">
        <v>0</v>
      </c>
      <c r="H16" s="1511" t="s">
        <v>819</v>
      </c>
    </row>
    <row r="17" spans="1:8" ht="35.25" customHeight="1" thickBot="1">
      <c r="A17" s="4822"/>
      <c r="B17" s="4814"/>
      <c r="C17" s="1522" t="s">
        <v>818</v>
      </c>
      <c r="D17" s="1521">
        <v>2360</v>
      </c>
      <c r="E17" s="1520">
        <f t="shared" si="0"/>
        <v>6751955</v>
      </c>
      <c r="F17" s="1519">
        <v>6751955</v>
      </c>
      <c r="G17" s="1518">
        <v>0</v>
      </c>
      <c r="H17" s="1511" t="s">
        <v>817</v>
      </c>
    </row>
    <row r="18" spans="1:8" ht="39.75" customHeight="1" thickBot="1">
      <c r="A18" s="1504">
        <v>10</v>
      </c>
      <c r="B18" s="1503" t="s">
        <v>816</v>
      </c>
      <c r="C18" s="1517" t="s">
        <v>815</v>
      </c>
      <c r="D18" s="1516">
        <v>2360</v>
      </c>
      <c r="E18" s="1515">
        <f t="shared" si="0"/>
        <v>7000</v>
      </c>
      <c r="F18" s="1514">
        <v>7000</v>
      </c>
      <c r="G18" s="1513"/>
      <c r="H18" s="1512" t="s">
        <v>814</v>
      </c>
    </row>
    <row r="19" spans="1:8" s="1436" customFormat="1" ht="42" customHeight="1" thickBot="1">
      <c r="A19" s="4811">
        <v>11</v>
      </c>
      <c r="B19" s="4813" t="s">
        <v>813</v>
      </c>
      <c r="C19" s="1510" t="s">
        <v>812</v>
      </c>
      <c r="D19" s="1509">
        <v>2360</v>
      </c>
      <c r="E19" s="1508">
        <f t="shared" si="0"/>
        <v>770000</v>
      </c>
      <c r="F19" s="1507">
        <v>770000</v>
      </c>
      <c r="G19" s="1506">
        <v>0</v>
      </c>
      <c r="H19" s="1511" t="s">
        <v>811</v>
      </c>
    </row>
    <row r="20" spans="1:8" s="1436" customFormat="1" ht="44.25" customHeight="1" thickBot="1">
      <c r="A20" s="4812"/>
      <c r="B20" s="4814"/>
      <c r="C20" s="1510" t="s">
        <v>810</v>
      </c>
      <c r="D20" s="1509">
        <v>2720</v>
      </c>
      <c r="E20" s="1508">
        <f t="shared" si="0"/>
        <v>4400000</v>
      </c>
      <c r="F20" s="1507">
        <v>4400000</v>
      </c>
      <c r="G20" s="1506">
        <v>0</v>
      </c>
      <c r="H20" s="1505" t="s">
        <v>809</v>
      </c>
    </row>
    <row r="21" spans="1:8" ht="56.25" customHeight="1" thickBot="1">
      <c r="A21" s="1504">
        <v>12</v>
      </c>
      <c r="B21" s="1503" t="s">
        <v>808</v>
      </c>
      <c r="C21" s="1502" t="s">
        <v>807</v>
      </c>
      <c r="D21" s="1501">
        <v>2360</v>
      </c>
      <c r="E21" s="1496">
        <f t="shared" si="0"/>
        <v>7000</v>
      </c>
      <c r="F21" s="1500">
        <v>7000</v>
      </c>
      <c r="G21" s="1499">
        <v>0</v>
      </c>
      <c r="H21" s="1498" t="s">
        <v>806</v>
      </c>
    </row>
    <row r="22" spans="1:8" s="1194" customFormat="1" ht="26.25" customHeight="1">
      <c r="A22" s="4821">
        <v>13</v>
      </c>
      <c r="B22" s="4813" t="s">
        <v>805</v>
      </c>
      <c r="C22" s="4813" t="s">
        <v>804</v>
      </c>
      <c r="D22" s="1497">
        <v>2360</v>
      </c>
      <c r="E22" s="1496">
        <f t="shared" si="0"/>
        <v>1215000</v>
      </c>
      <c r="F22" s="1495">
        <v>1215000</v>
      </c>
      <c r="G22" s="1494">
        <v>0</v>
      </c>
      <c r="H22" s="4824" t="s">
        <v>803</v>
      </c>
    </row>
    <row r="23" spans="1:8" s="1194" customFormat="1" ht="23.25" customHeight="1">
      <c r="A23" s="4823"/>
      <c r="B23" s="4818"/>
      <c r="C23" s="4818"/>
      <c r="D23" s="1491">
        <v>2820</v>
      </c>
      <c r="E23" s="1490">
        <f t="shared" si="0"/>
        <v>3410857</v>
      </c>
      <c r="F23" s="1493">
        <v>3410857</v>
      </c>
      <c r="G23" s="1492">
        <v>0</v>
      </c>
      <c r="H23" s="4825"/>
    </row>
    <row r="24" spans="1:8" s="1194" customFormat="1" ht="23.25" customHeight="1" thickBot="1">
      <c r="A24" s="4822"/>
      <c r="B24" s="4814"/>
      <c r="C24" s="4814"/>
      <c r="D24" s="1491">
        <v>6190</v>
      </c>
      <c r="E24" s="1490">
        <f t="shared" si="0"/>
        <v>250000</v>
      </c>
      <c r="F24" s="1489"/>
      <c r="G24" s="1488">
        <v>250000</v>
      </c>
      <c r="H24" s="4826"/>
    </row>
    <row r="25" spans="1:8" ht="35.25" customHeight="1" thickBot="1">
      <c r="A25" s="4749" t="s">
        <v>655</v>
      </c>
      <c r="B25" s="4750"/>
      <c r="C25" s="4750"/>
      <c r="D25" s="4751"/>
      <c r="E25" s="1487">
        <f t="shared" si="0"/>
        <v>162336918</v>
      </c>
      <c r="F25" s="1486">
        <f>SUM(F5:F24)</f>
        <v>162086918</v>
      </c>
      <c r="G25" s="1485">
        <f>SUM(G5:G24)</f>
        <v>250000</v>
      </c>
      <c r="H25" s="1484"/>
    </row>
    <row r="26" spans="1:8">
      <c r="A26" s="1194"/>
      <c r="B26" s="1480"/>
      <c r="C26" s="1480"/>
      <c r="D26" s="1480"/>
      <c r="E26" s="1480"/>
      <c r="F26" s="1478"/>
      <c r="G26" s="1478"/>
      <c r="H26" s="1477"/>
    </row>
    <row r="27" spans="1:8">
      <c r="B27" s="1472"/>
      <c r="C27" s="1472"/>
      <c r="D27" s="1472"/>
      <c r="E27" s="1483"/>
      <c r="F27" s="1476"/>
      <c r="G27" s="1476"/>
      <c r="H27" s="1475"/>
    </row>
    <row r="28" spans="1:8">
      <c r="B28" s="1480"/>
      <c r="C28" s="1480"/>
      <c r="D28" s="1480"/>
      <c r="E28" s="1482"/>
      <c r="F28" s="1481"/>
      <c r="G28" s="1481"/>
      <c r="H28" s="1477"/>
    </row>
    <row r="29" spans="1:8">
      <c r="B29" s="1480"/>
      <c r="C29" s="1480"/>
      <c r="D29" s="1480"/>
      <c r="E29" s="1480"/>
      <c r="F29" s="1478"/>
      <c r="G29" s="1478"/>
      <c r="H29" s="1477"/>
    </row>
    <row r="30" spans="1:8">
      <c r="B30" s="1480"/>
      <c r="C30" s="1480"/>
      <c r="D30" s="1480"/>
      <c r="E30" s="1479"/>
      <c r="F30" s="1478"/>
      <c r="G30" s="1478"/>
      <c r="H30" s="1477"/>
    </row>
    <row r="31" spans="1:8">
      <c r="B31" s="1472"/>
      <c r="C31" s="1472"/>
      <c r="D31" s="1472"/>
      <c r="E31" s="1472"/>
      <c r="F31" s="1476"/>
      <c r="G31" s="1476"/>
      <c r="H31" s="1475"/>
    </row>
    <row r="32" spans="1:8">
      <c r="B32" s="1472"/>
      <c r="C32" s="1472"/>
      <c r="D32" s="1472"/>
      <c r="E32" s="1472"/>
      <c r="F32" s="1476"/>
      <c r="G32" s="1476"/>
      <c r="H32" s="1475"/>
    </row>
    <row r="33" spans="2:8">
      <c r="B33" s="1472"/>
      <c r="C33" s="1472"/>
      <c r="D33" s="1472"/>
      <c r="E33" s="1472"/>
      <c r="F33" s="1476"/>
      <c r="G33" s="1476"/>
      <c r="H33" s="1475"/>
    </row>
    <row r="34" spans="2:8">
      <c r="B34" s="1472"/>
      <c r="C34" s="1472"/>
      <c r="D34" s="1472"/>
      <c r="E34" s="1472"/>
      <c r="F34" s="1476"/>
      <c r="G34" s="1476"/>
      <c r="H34" s="1475"/>
    </row>
    <row r="35" spans="2:8">
      <c r="B35" s="1472"/>
      <c r="C35" s="1472"/>
      <c r="D35" s="1472"/>
      <c r="E35" s="1472"/>
      <c r="F35" s="1476"/>
      <c r="G35" s="1476"/>
      <c r="H35" s="1475"/>
    </row>
    <row r="36" spans="2:8">
      <c r="B36" s="1472"/>
      <c r="C36" s="1472"/>
      <c r="D36" s="1472"/>
      <c r="E36" s="1472"/>
      <c r="F36" s="1476"/>
      <c r="G36" s="1476"/>
      <c r="H36" s="1475"/>
    </row>
    <row r="37" spans="2:8">
      <c r="B37" s="1472"/>
      <c r="C37" s="1472"/>
      <c r="D37" s="1472"/>
      <c r="E37" s="1472"/>
      <c r="F37" s="1476"/>
      <c r="G37" s="1476"/>
      <c r="H37" s="1475"/>
    </row>
    <row r="38" spans="2:8">
      <c r="B38" s="1472"/>
      <c r="C38" s="1472"/>
      <c r="D38" s="1472"/>
      <c r="E38" s="1472"/>
      <c r="F38" s="1476"/>
      <c r="G38" s="1476"/>
      <c r="H38" s="1475"/>
    </row>
    <row r="39" spans="2:8">
      <c r="B39" s="1472"/>
      <c r="C39" s="1472"/>
      <c r="D39" s="1472"/>
      <c r="E39" s="1472"/>
      <c r="F39" s="1476"/>
      <c r="G39" s="1476"/>
      <c r="H39" s="1475"/>
    </row>
    <row r="40" spans="2:8">
      <c r="B40" s="1472"/>
      <c r="C40" s="1473"/>
      <c r="D40" s="1473"/>
      <c r="E40" s="1473"/>
      <c r="F40" s="1474"/>
      <c r="G40" s="1474"/>
    </row>
    <row r="41" spans="2:8">
      <c r="B41" s="1472"/>
      <c r="C41" s="1473"/>
      <c r="D41" s="1473"/>
      <c r="E41" s="1473"/>
      <c r="F41" s="1474"/>
      <c r="G41" s="1474"/>
    </row>
    <row r="42" spans="2:8">
      <c r="B42" s="1472"/>
      <c r="C42" s="1473"/>
      <c r="D42" s="1473"/>
      <c r="E42" s="1473"/>
      <c r="F42" s="1474"/>
      <c r="G42" s="1474"/>
    </row>
    <row r="43" spans="2:8">
      <c r="B43" s="1472"/>
      <c r="C43" s="1473"/>
      <c r="D43" s="1473"/>
      <c r="E43" s="1473"/>
      <c r="F43" s="1474"/>
      <c r="G43" s="1474"/>
    </row>
    <row r="44" spans="2:8">
      <c r="B44" s="1472"/>
      <c r="C44" s="1473"/>
      <c r="D44" s="1473"/>
      <c r="E44" s="1473"/>
      <c r="F44" s="1474"/>
      <c r="G44" s="1474"/>
    </row>
    <row r="45" spans="2:8">
      <c r="B45" s="1472"/>
      <c r="C45" s="1473"/>
      <c r="D45" s="1473"/>
      <c r="E45" s="1473"/>
      <c r="F45" s="1474"/>
      <c r="G45" s="1474"/>
    </row>
    <row r="46" spans="2:8">
      <c r="B46" s="1472"/>
      <c r="C46" s="1473"/>
      <c r="D46" s="1473"/>
      <c r="E46" s="1473"/>
      <c r="F46" s="1474"/>
      <c r="G46" s="1474"/>
    </row>
    <row r="47" spans="2:8">
      <c r="B47" s="1472"/>
      <c r="C47" s="1473"/>
      <c r="D47" s="1473"/>
      <c r="E47" s="1473"/>
      <c r="F47" s="1474"/>
      <c r="G47" s="1474"/>
    </row>
    <row r="48" spans="2:8">
      <c r="B48" s="1472"/>
      <c r="C48" s="1473"/>
      <c r="D48" s="1473"/>
      <c r="E48" s="1473"/>
      <c r="F48" s="1474"/>
      <c r="G48" s="1474"/>
    </row>
    <row r="49" spans="2:7">
      <c r="B49" s="1472"/>
      <c r="C49" s="1473"/>
      <c r="D49" s="1473"/>
      <c r="E49" s="1473"/>
      <c r="F49" s="1474"/>
      <c r="G49" s="1474"/>
    </row>
    <row r="50" spans="2:7">
      <c r="B50" s="1472"/>
      <c r="C50" s="1473"/>
      <c r="D50" s="1473"/>
      <c r="E50" s="1473"/>
      <c r="F50" s="1474"/>
      <c r="G50" s="1474"/>
    </row>
    <row r="51" spans="2:7">
      <c r="B51" s="1472"/>
      <c r="C51" s="1473"/>
      <c r="D51" s="1473"/>
      <c r="E51" s="1473"/>
      <c r="F51" s="1474"/>
      <c r="G51" s="1474"/>
    </row>
    <row r="52" spans="2:7">
      <c r="B52" s="1472"/>
      <c r="C52" s="1473"/>
      <c r="D52" s="1473"/>
      <c r="E52" s="1473"/>
      <c r="F52" s="1474"/>
      <c r="G52" s="1474"/>
    </row>
    <row r="53" spans="2:7">
      <c r="B53" s="1472"/>
      <c r="C53" s="1473"/>
      <c r="D53" s="1473"/>
      <c r="E53" s="1473"/>
      <c r="F53" s="1474"/>
      <c r="G53" s="1474"/>
    </row>
    <row r="54" spans="2:7">
      <c r="B54" s="1472"/>
      <c r="C54" s="1473"/>
      <c r="D54" s="1473"/>
      <c r="E54" s="1473"/>
      <c r="F54" s="1474"/>
      <c r="G54" s="1474"/>
    </row>
    <row r="55" spans="2:7">
      <c r="B55" s="1472"/>
      <c r="C55" s="1473"/>
      <c r="D55" s="1473"/>
      <c r="E55" s="1473"/>
      <c r="F55" s="1474"/>
      <c r="G55" s="1474"/>
    </row>
    <row r="56" spans="2:7">
      <c r="B56" s="1472"/>
      <c r="C56" s="1473"/>
      <c r="D56" s="1473"/>
      <c r="E56" s="1473"/>
      <c r="F56" s="1474"/>
      <c r="G56" s="1474"/>
    </row>
    <row r="57" spans="2:7">
      <c r="B57" s="1472"/>
      <c r="C57" s="1473"/>
      <c r="D57" s="1473"/>
      <c r="E57" s="1473"/>
      <c r="F57" s="1474"/>
      <c r="G57" s="1474"/>
    </row>
    <row r="58" spans="2:7">
      <c r="B58" s="1472"/>
      <c r="C58" s="1473"/>
      <c r="D58" s="1473"/>
      <c r="E58" s="1473"/>
      <c r="F58" s="1474"/>
      <c r="G58" s="1474"/>
    </row>
    <row r="59" spans="2:7">
      <c r="B59" s="1472"/>
      <c r="C59" s="1473"/>
      <c r="D59" s="1473"/>
      <c r="E59" s="1473"/>
      <c r="F59" s="1474"/>
      <c r="G59" s="1474"/>
    </row>
    <row r="60" spans="2:7">
      <c r="B60" s="1472"/>
      <c r="C60" s="1473"/>
      <c r="D60" s="1473"/>
      <c r="E60" s="1473"/>
      <c r="F60" s="1474"/>
      <c r="G60" s="1474"/>
    </row>
    <row r="61" spans="2:7">
      <c r="B61" s="1472"/>
      <c r="C61" s="1473"/>
      <c r="D61" s="1473"/>
      <c r="E61" s="1473"/>
      <c r="F61" s="1474"/>
      <c r="G61" s="1474"/>
    </row>
    <row r="62" spans="2:7">
      <c r="B62" s="1472"/>
      <c r="C62" s="1473"/>
      <c r="D62" s="1473"/>
      <c r="E62" s="1473"/>
      <c r="F62" s="1474"/>
      <c r="G62" s="1474"/>
    </row>
    <row r="63" spans="2:7">
      <c r="B63" s="1472"/>
      <c r="C63" s="1473"/>
      <c r="D63" s="1473"/>
      <c r="E63" s="1473"/>
      <c r="F63" s="1474"/>
      <c r="G63" s="1474"/>
    </row>
    <row r="64" spans="2:7">
      <c r="B64" s="1472"/>
      <c r="C64" s="1473"/>
      <c r="D64" s="1473"/>
      <c r="E64" s="1473"/>
      <c r="F64" s="1474"/>
      <c r="G64" s="1474"/>
    </row>
    <row r="65" spans="2:7">
      <c r="B65" s="1472"/>
      <c r="C65" s="1473"/>
      <c r="D65" s="1473"/>
      <c r="E65" s="1473"/>
      <c r="F65" s="1474"/>
      <c r="G65" s="1474"/>
    </row>
    <row r="66" spans="2:7">
      <c r="B66" s="1472"/>
      <c r="C66" s="1473"/>
      <c r="D66" s="1473"/>
      <c r="E66" s="1473"/>
      <c r="F66" s="1474"/>
      <c r="G66" s="1474"/>
    </row>
    <row r="67" spans="2:7">
      <c r="B67" s="1472"/>
      <c r="C67" s="1473"/>
      <c r="D67" s="1473"/>
      <c r="E67" s="1473"/>
      <c r="F67" s="1474"/>
      <c r="G67" s="1474"/>
    </row>
    <row r="68" spans="2:7">
      <c r="B68" s="1472"/>
      <c r="C68" s="1473"/>
      <c r="D68" s="1473"/>
      <c r="E68" s="1473"/>
      <c r="F68" s="1474"/>
      <c r="G68" s="1474"/>
    </row>
    <row r="69" spans="2:7">
      <c r="B69" s="1472"/>
      <c r="C69" s="1473"/>
      <c r="D69" s="1473"/>
      <c r="E69" s="1473"/>
      <c r="F69" s="1474"/>
      <c r="G69" s="1474"/>
    </row>
    <row r="70" spans="2:7">
      <c r="B70" s="1472"/>
      <c r="C70" s="1473"/>
      <c r="D70" s="1473"/>
      <c r="E70" s="1473"/>
      <c r="F70" s="1474"/>
      <c r="G70" s="1474"/>
    </row>
    <row r="71" spans="2:7">
      <c r="B71" s="1472"/>
      <c r="C71" s="1473"/>
      <c r="D71" s="1473"/>
      <c r="E71" s="1473"/>
      <c r="F71" s="1474"/>
      <c r="G71" s="1474"/>
    </row>
    <row r="72" spans="2:7">
      <c r="B72" s="1472"/>
      <c r="C72" s="1473"/>
      <c r="D72" s="1473"/>
      <c r="E72" s="1473"/>
      <c r="F72" s="1470"/>
      <c r="G72" s="1470"/>
    </row>
    <row r="73" spans="2:7">
      <c r="B73" s="1472"/>
      <c r="C73" s="1473"/>
      <c r="D73" s="1473"/>
      <c r="E73" s="1473"/>
      <c r="F73" s="1470"/>
      <c r="G73" s="1470"/>
    </row>
    <row r="74" spans="2:7">
      <c r="B74" s="1472"/>
      <c r="C74" s="1473"/>
      <c r="D74" s="1473"/>
      <c r="E74" s="1473"/>
      <c r="F74" s="1470"/>
      <c r="G74" s="1470"/>
    </row>
    <row r="75" spans="2:7">
      <c r="B75" s="1472"/>
      <c r="C75" s="1471"/>
      <c r="D75" s="1471"/>
      <c r="E75" s="1471"/>
      <c r="F75" s="1470"/>
      <c r="G75" s="1470"/>
    </row>
    <row r="76" spans="2:7">
      <c r="B76" s="1472"/>
      <c r="C76" s="1471"/>
      <c r="D76" s="1471"/>
      <c r="E76" s="1471"/>
      <c r="F76" s="1470"/>
      <c r="G76" s="1470"/>
    </row>
    <row r="77" spans="2:7">
      <c r="B77" s="1472"/>
      <c r="C77" s="1471"/>
      <c r="D77" s="1471"/>
      <c r="E77" s="1471"/>
      <c r="F77" s="1470"/>
      <c r="G77" s="1470"/>
    </row>
    <row r="78" spans="2:7">
      <c r="B78" s="1472"/>
      <c r="C78" s="1471"/>
      <c r="D78" s="1471"/>
      <c r="E78" s="1471"/>
      <c r="F78" s="1470"/>
      <c r="G78" s="1470"/>
    </row>
    <row r="79" spans="2:7">
      <c r="B79" s="1472"/>
      <c r="C79" s="1471"/>
      <c r="D79" s="1471"/>
      <c r="E79" s="1471"/>
      <c r="F79" s="1470"/>
      <c r="G79" s="1470"/>
    </row>
    <row r="80" spans="2:7">
      <c r="B80" s="1472"/>
      <c r="C80" s="1471"/>
      <c r="D80" s="1471"/>
      <c r="E80" s="1471"/>
      <c r="F80" s="1470"/>
      <c r="G80" s="1470"/>
    </row>
    <row r="81" spans="2:7">
      <c r="B81" s="1472"/>
      <c r="C81" s="1471"/>
      <c r="D81" s="1471"/>
      <c r="E81" s="1471"/>
      <c r="F81" s="1470"/>
      <c r="G81" s="1470"/>
    </row>
    <row r="82" spans="2:7">
      <c r="B82" s="1472"/>
      <c r="C82" s="1471"/>
      <c r="D82" s="1471"/>
      <c r="E82" s="1471"/>
      <c r="F82" s="1470"/>
      <c r="G82" s="1470"/>
    </row>
    <row r="83" spans="2:7">
      <c r="B83" s="1472"/>
      <c r="C83" s="1471"/>
      <c r="D83" s="1471"/>
      <c r="E83" s="1471"/>
      <c r="F83" s="1470"/>
      <c r="G83" s="1470"/>
    </row>
    <row r="84" spans="2:7">
      <c r="B84" s="1472"/>
      <c r="C84" s="1471"/>
      <c r="D84" s="1471"/>
      <c r="E84" s="1471"/>
      <c r="F84" s="1470"/>
      <c r="G84" s="1470"/>
    </row>
    <row r="85" spans="2:7">
      <c r="B85" s="1472"/>
      <c r="C85" s="1471"/>
      <c r="D85" s="1471"/>
      <c r="E85" s="1471"/>
      <c r="F85" s="1470"/>
      <c r="G85" s="1470"/>
    </row>
    <row r="86" spans="2:7">
      <c r="B86" s="1472"/>
      <c r="C86" s="1471"/>
      <c r="D86" s="1471"/>
      <c r="E86" s="1471"/>
      <c r="F86" s="1470"/>
      <c r="G86" s="1470"/>
    </row>
    <row r="87" spans="2:7">
      <c r="B87" s="1472"/>
      <c r="C87" s="1471"/>
      <c r="D87" s="1471"/>
      <c r="E87" s="1471"/>
      <c r="F87" s="1470"/>
      <c r="G87" s="1470"/>
    </row>
    <row r="88" spans="2:7">
      <c r="B88" s="1472"/>
      <c r="C88" s="1471"/>
      <c r="D88" s="1471"/>
      <c r="E88" s="1471"/>
      <c r="F88" s="1470"/>
      <c r="G88" s="1470"/>
    </row>
    <row r="89" spans="2:7">
      <c r="B89" s="1472"/>
      <c r="C89" s="1471"/>
      <c r="D89" s="1471"/>
      <c r="E89" s="1471"/>
      <c r="F89" s="1470"/>
      <c r="G89" s="1470"/>
    </row>
    <row r="90" spans="2:7">
      <c r="B90" s="1472"/>
      <c r="C90" s="1471"/>
      <c r="D90" s="1471"/>
      <c r="E90" s="1471"/>
      <c r="F90" s="1470"/>
      <c r="G90" s="1470"/>
    </row>
    <row r="91" spans="2:7">
      <c r="B91" s="1472"/>
      <c r="C91" s="1471"/>
      <c r="D91" s="1471"/>
      <c r="E91" s="1471"/>
      <c r="F91" s="1470"/>
      <c r="G91" s="1470"/>
    </row>
    <row r="92" spans="2:7">
      <c r="B92" s="1472"/>
      <c r="C92" s="1471"/>
      <c r="D92" s="1471"/>
      <c r="E92" s="1471"/>
      <c r="F92" s="1470"/>
      <c r="G92" s="1470"/>
    </row>
    <row r="93" spans="2:7">
      <c r="B93" s="1472"/>
      <c r="C93" s="1471"/>
      <c r="D93" s="1471"/>
      <c r="E93" s="1471"/>
      <c r="F93" s="1470"/>
      <c r="G93" s="1470"/>
    </row>
    <row r="94" spans="2:7">
      <c r="B94" s="1472"/>
      <c r="C94" s="1471"/>
      <c r="D94" s="1471"/>
      <c r="E94" s="1471"/>
      <c r="F94" s="1470"/>
      <c r="G94" s="1470"/>
    </row>
    <row r="95" spans="2:7">
      <c r="B95" s="1472"/>
      <c r="C95" s="1471"/>
      <c r="D95" s="1471"/>
      <c r="E95" s="1471"/>
      <c r="F95" s="1470"/>
      <c r="G95" s="1470"/>
    </row>
    <row r="96" spans="2:7">
      <c r="B96" s="1472"/>
      <c r="C96" s="1471"/>
      <c r="D96" s="1471"/>
      <c r="E96" s="1471"/>
      <c r="F96" s="1470"/>
      <c r="G96" s="1470"/>
    </row>
    <row r="97" spans="2:7">
      <c r="B97" s="1472"/>
      <c r="C97" s="1471"/>
      <c r="D97" s="1471"/>
      <c r="E97" s="1471"/>
      <c r="F97" s="1470"/>
      <c r="G97" s="1470"/>
    </row>
    <row r="98" spans="2:7">
      <c r="B98" s="1472"/>
      <c r="C98" s="1471"/>
      <c r="D98" s="1471"/>
      <c r="E98" s="1471"/>
      <c r="F98" s="1470"/>
      <c r="G98" s="1470"/>
    </row>
    <row r="99" spans="2:7">
      <c r="B99" s="1469"/>
      <c r="C99" s="1198"/>
      <c r="D99" s="1198"/>
      <c r="E99" s="1198"/>
    </row>
    <row r="100" spans="2:7">
      <c r="B100" s="1469"/>
      <c r="C100" s="1198"/>
      <c r="D100" s="1198"/>
      <c r="E100" s="1198"/>
    </row>
    <row r="101" spans="2:7">
      <c r="B101" s="1469"/>
      <c r="C101" s="1198"/>
      <c r="D101" s="1198"/>
      <c r="E101" s="1198"/>
    </row>
    <row r="102" spans="2:7">
      <c r="B102" s="1469"/>
      <c r="C102" s="1198"/>
      <c r="D102" s="1198"/>
      <c r="E102" s="1198"/>
    </row>
    <row r="103" spans="2:7">
      <c r="B103" s="1469"/>
      <c r="C103" s="1198"/>
      <c r="D103" s="1198"/>
      <c r="E103" s="1198"/>
    </row>
    <row r="104" spans="2:7">
      <c r="B104" s="1469"/>
      <c r="C104" s="1198"/>
      <c r="D104" s="1198"/>
      <c r="E104" s="1198"/>
    </row>
    <row r="105" spans="2:7">
      <c r="B105" s="1469"/>
      <c r="C105" s="1198"/>
      <c r="D105" s="1198"/>
      <c r="E105" s="1198"/>
    </row>
    <row r="106" spans="2:7">
      <c r="B106" s="1469"/>
      <c r="C106" s="1198"/>
      <c r="D106" s="1198"/>
      <c r="E106" s="1198"/>
    </row>
    <row r="107" spans="2:7">
      <c r="B107" s="1469"/>
      <c r="C107" s="1198"/>
      <c r="D107" s="1198"/>
      <c r="E107" s="1198"/>
    </row>
    <row r="108" spans="2:7">
      <c r="B108" s="1469"/>
      <c r="C108" s="1198"/>
      <c r="D108" s="1198"/>
      <c r="E108" s="1198"/>
    </row>
    <row r="109" spans="2:7">
      <c r="B109" s="1469"/>
      <c r="C109" s="1198"/>
      <c r="D109" s="1198"/>
      <c r="E109" s="1198"/>
    </row>
    <row r="110" spans="2:7">
      <c r="B110" s="1469"/>
      <c r="C110" s="1198"/>
      <c r="D110" s="1198"/>
      <c r="E110" s="1198"/>
    </row>
    <row r="111" spans="2:7">
      <c r="B111" s="1469"/>
      <c r="C111" s="1198"/>
      <c r="D111" s="1198"/>
      <c r="E111" s="1198"/>
    </row>
    <row r="112" spans="2:7">
      <c r="B112" s="1469"/>
      <c r="C112" s="1198"/>
      <c r="D112" s="1198"/>
      <c r="E112" s="1198"/>
    </row>
    <row r="113" spans="2:5">
      <c r="B113" s="1469"/>
      <c r="C113" s="1198"/>
      <c r="D113" s="1198"/>
      <c r="E113" s="1198"/>
    </row>
    <row r="114" spans="2:5">
      <c r="B114" s="1469"/>
      <c r="C114" s="1198"/>
      <c r="D114" s="1198"/>
      <c r="E114" s="1198"/>
    </row>
    <row r="115" spans="2:5">
      <c r="B115" s="1198"/>
      <c r="C115" s="1198"/>
      <c r="D115" s="1198"/>
      <c r="E115" s="1198"/>
    </row>
    <row r="116" spans="2:5">
      <c r="B116" s="1198"/>
      <c r="C116" s="1198"/>
      <c r="D116" s="1198"/>
      <c r="E116" s="1198"/>
    </row>
    <row r="117" spans="2:5">
      <c r="B117" s="1198"/>
      <c r="C117" s="1198"/>
      <c r="D117" s="1198"/>
      <c r="E117" s="1198"/>
    </row>
    <row r="118" spans="2:5">
      <c r="B118" s="1198"/>
      <c r="C118" s="1198"/>
      <c r="D118" s="1198"/>
      <c r="E118" s="1198"/>
    </row>
    <row r="119" spans="2:5">
      <c r="B119" s="1198"/>
      <c r="C119" s="1198"/>
      <c r="D119" s="1198"/>
      <c r="E119" s="1198"/>
    </row>
    <row r="120" spans="2:5">
      <c r="B120" s="1198"/>
      <c r="C120" s="1198"/>
      <c r="D120" s="1198"/>
      <c r="E120" s="1198"/>
    </row>
    <row r="121" spans="2:5">
      <c r="B121" s="1198"/>
      <c r="C121" s="1198"/>
      <c r="D121" s="1198"/>
      <c r="E121" s="1198"/>
    </row>
    <row r="122" spans="2:5">
      <c r="B122" s="1198"/>
      <c r="C122" s="1198"/>
      <c r="D122" s="1198"/>
      <c r="E122" s="1198"/>
    </row>
    <row r="123" spans="2:5">
      <c r="B123" s="1198"/>
      <c r="C123" s="1198"/>
      <c r="D123" s="1198"/>
      <c r="E123" s="1198"/>
    </row>
    <row r="124" spans="2:5">
      <c r="B124" s="1198"/>
      <c r="C124" s="1198"/>
      <c r="D124" s="1198"/>
      <c r="E124" s="1198"/>
    </row>
    <row r="125" spans="2:5">
      <c r="B125" s="1198"/>
      <c r="C125" s="1198"/>
      <c r="D125" s="1198"/>
      <c r="E125" s="1198"/>
    </row>
    <row r="126" spans="2:5">
      <c r="B126" s="1198"/>
      <c r="C126" s="1198"/>
      <c r="D126" s="1198"/>
      <c r="E126" s="1198"/>
    </row>
    <row r="127" spans="2:5">
      <c r="B127" s="1198"/>
      <c r="C127" s="1198"/>
      <c r="D127" s="1198"/>
      <c r="E127" s="1198"/>
    </row>
    <row r="128" spans="2:5">
      <c r="B128" s="1198"/>
      <c r="C128" s="1198"/>
      <c r="D128" s="1198"/>
      <c r="E128" s="1198"/>
    </row>
    <row r="129" spans="2:5">
      <c r="B129" s="1198"/>
      <c r="C129" s="1198"/>
      <c r="D129" s="1198"/>
      <c r="E129" s="1198"/>
    </row>
    <row r="130" spans="2:5">
      <c r="B130" s="1198"/>
      <c r="C130" s="1198"/>
      <c r="D130" s="1198"/>
      <c r="E130" s="1198"/>
    </row>
    <row r="131" spans="2:5">
      <c r="B131" s="1198"/>
      <c r="C131" s="1198"/>
      <c r="D131" s="1198"/>
      <c r="E131" s="1198"/>
    </row>
    <row r="132" spans="2:5">
      <c r="B132" s="1198"/>
      <c r="C132" s="1198"/>
      <c r="D132" s="1198"/>
      <c r="E132" s="1198"/>
    </row>
    <row r="133" spans="2:5">
      <c r="B133" s="1198"/>
      <c r="C133" s="1198"/>
      <c r="D133" s="1198"/>
      <c r="E133" s="1198"/>
    </row>
    <row r="134" spans="2:5">
      <c r="B134" s="1198"/>
      <c r="C134" s="1198"/>
      <c r="D134" s="1198"/>
      <c r="E134" s="1198"/>
    </row>
    <row r="135" spans="2:5">
      <c r="B135" s="1198"/>
      <c r="C135" s="1198"/>
      <c r="D135" s="1198"/>
      <c r="E135" s="1198"/>
    </row>
    <row r="136" spans="2:5">
      <c r="B136" s="1198"/>
      <c r="C136" s="1198"/>
      <c r="D136" s="1198"/>
      <c r="E136" s="1198"/>
    </row>
    <row r="137" spans="2:5">
      <c r="B137" s="1198"/>
      <c r="C137" s="1198"/>
      <c r="D137" s="1198"/>
      <c r="E137" s="1198"/>
    </row>
    <row r="138" spans="2:5">
      <c r="B138" s="1198"/>
      <c r="C138" s="1198"/>
      <c r="D138" s="1198"/>
      <c r="E138" s="1198"/>
    </row>
    <row r="139" spans="2:5">
      <c r="B139" s="1198"/>
      <c r="C139" s="1198"/>
      <c r="D139" s="1198"/>
      <c r="E139" s="1198"/>
    </row>
    <row r="140" spans="2:5">
      <c r="B140" s="1198"/>
      <c r="C140" s="1198"/>
      <c r="D140" s="1198"/>
      <c r="E140" s="1198"/>
    </row>
    <row r="141" spans="2:5">
      <c r="B141" s="1198"/>
      <c r="C141" s="1198"/>
      <c r="D141" s="1198"/>
      <c r="E141" s="1198"/>
    </row>
    <row r="142" spans="2:5">
      <c r="B142" s="1198"/>
      <c r="C142" s="1198"/>
      <c r="D142" s="1198"/>
      <c r="E142" s="1198"/>
    </row>
    <row r="143" spans="2:5">
      <c r="B143" s="1198"/>
      <c r="C143" s="1198"/>
      <c r="D143" s="1198"/>
      <c r="E143" s="1198"/>
    </row>
    <row r="144" spans="2:5">
      <c r="B144" s="1198"/>
      <c r="C144" s="1198"/>
      <c r="D144" s="1198"/>
      <c r="E144" s="1198"/>
    </row>
    <row r="145" spans="2:5">
      <c r="B145" s="1198"/>
      <c r="C145" s="1198"/>
      <c r="D145" s="1198"/>
      <c r="E145" s="1198"/>
    </row>
    <row r="146" spans="2:5">
      <c r="B146" s="1198"/>
      <c r="C146" s="1198"/>
      <c r="D146" s="1198"/>
      <c r="E146" s="1198"/>
    </row>
    <row r="147" spans="2:5">
      <c r="B147" s="1198"/>
      <c r="C147" s="1198"/>
      <c r="D147" s="1198"/>
      <c r="E147" s="1198"/>
    </row>
    <row r="148" spans="2:5">
      <c r="B148" s="1198"/>
      <c r="C148" s="1198"/>
      <c r="D148" s="1198"/>
      <c r="E148" s="1198"/>
    </row>
    <row r="149" spans="2:5">
      <c r="B149" s="1198"/>
      <c r="C149" s="1198"/>
      <c r="D149" s="1198"/>
      <c r="E149" s="1198"/>
    </row>
    <row r="150" spans="2:5">
      <c r="B150" s="1198"/>
      <c r="C150" s="1198"/>
      <c r="D150" s="1198"/>
      <c r="E150" s="1198"/>
    </row>
    <row r="151" spans="2:5">
      <c r="B151" s="1198"/>
      <c r="C151" s="1198"/>
      <c r="D151" s="1198"/>
      <c r="E151" s="1198"/>
    </row>
    <row r="535" spans="17:17">
      <c r="Q535" s="1195">
        <f>P535-O535</f>
        <v>0</v>
      </c>
    </row>
  </sheetData>
  <sheetProtection algorithmName="SHA-512" hashValue="ZbbU+rUZ08HHe35wSOU/6YjYUhJVL5mFnu8L1qEfvxMai1N0gffQYSq2ufLUdZTUG1Io+9QTVh1VfhZC9Vuukg==" saltValue="SW4g0ogLByPH3f9SwA+wKg==" spinCount="100000" sheet="1" objects="1" scenarios="1"/>
  <mergeCells count="22">
    <mergeCell ref="A22:A24"/>
    <mergeCell ref="B22:B24"/>
    <mergeCell ref="C22:C24"/>
    <mergeCell ref="H22:H24"/>
    <mergeCell ref="A25:D25"/>
    <mergeCell ref="A19:A20"/>
    <mergeCell ref="B19:B20"/>
    <mergeCell ref="A10:A12"/>
    <mergeCell ref="B10:B12"/>
    <mergeCell ref="A13:A14"/>
    <mergeCell ref="B13:B14"/>
    <mergeCell ref="A16:A17"/>
    <mergeCell ref="B16:B17"/>
    <mergeCell ref="B1:F1"/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  <rowBreaks count="1" manualBreakCount="1">
    <brk id="1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3537-5DA4-44B9-8691-8BD6B6689490}">
  <sheetPr>
    <tabColor rgb="FF99FF33"/>
  </sheetPr>
  <dimension ref="A1:Q534"/>
  <sheetViews>
    <sheetView view="pageBreakPreview" zoomScaleNormal="100" zoomScaleSheetLayoutView="100" workbookViewId="0">
      <selection activeCell="R6" sqref="R6"/>
    </sheetView>
  </sheetViews>
  <sheetFormatPr defaultRowHeight="12.75"/>
  <cols>
    <col min="1" max="1" width="10.7109375" style="1195" customWidth="1"/>
    <col min="2" max="2" width="10.5703125" style="1195" customWidth="1"/>
    <col min="3" max="3" width="17.140625" style="1195" customWidth="1"/>
    <col min="4" max="4" width="12.140625" style="1195" customWidth="1"/>
    <col min="5" max="5" width="15.85546875" style="1195" customWidth="1"/>
    <col min="6" max="7" width="19" style="1195" customWidth="1"/>
    <col min="8" max="8" width="52.5703125" style="1195" customWidth="1"/>
    <col min="9" max="258" width="9.140625" style="1195"/>
    <col min="259" max="259" width="10.7109375" style="1195" customWidth="1"/>
    <col min="260" max="260" width="10.5703125" style="1195" customWidth="1"/>
    <col min="261" max="261" width="10.28515625" style="1195" customWidth="1"/>
    <col min="262" max="262" width="13.28515625" style="1195" customWidth="1"/>
    <col min="263" max="263" width="13.42578125" style="1195" customWidth="1"/>
    <col min="264" max="264" width="54.42578125" style="1195" customWidth="1"/>
    <col min="265" max="514" width="9.140625" style="1195"/>
    <col min="515" max="515" width="10.7109375" style="1195" customWidth="1"/>
    <col min="516" max="516" width="10.5703125" style="1195" customWidth="1"/>
    <col min="517" max="517" width="10.28515625" style="1195" customWidth="1"/>
    <col min="518" max="518" width="13.28515625" style="1195" customWidth="1"/>
    <col min="519" max="519" width="13.42578125" style="1195" customWidth="1"/>
    <col min="520" max="520" width="54.42578125" style="1195" customWidth="1"/>
    <col min="521" max="770" width="9.140625" style="1195"/>
    <col min="771" max="771" width="10.7109375" style="1195" customWidth="1"/>
    <col min="772" max="772" width="10.5703125" style="1195" customWidth="1"/>
    <col min="773" max="773" width="10.28515625" style="1195" customWidth="1"/>
    <col min="774" max="774" width="13.28515625" style="1195" customWidth="1"/>
    <col min="775" max="775" width="13.42578125" style="1195" customWidth="1"/>
    <col min="776" max="776" width="54.42578125" style="1195" customWidth="1"/>
    <col min="777" max="1026" width="9.140625" style="1195"/>
    <col min="1027" max="1027" width="10.7109375" style="1195" customWidth="1"/>
    <col min="1028" max="1028" width="10.5703125" style="1195" customWidth="1"/>
    <col min="1029" max="1029" width="10.28515625" style="1195" customWidth="1"/>
    <col min="1030" max="1030" width="13.28515625" style="1195" customWidth="1"/>
    <col min="1031" max="1031" width="13.42578125" style="1195" customWidth="1"/>
    <col min="1032" max="1032" width="54.42578125" style="1195" customWidth="1"/>
    <col min="1033" max="1282" width="9.140625" style="1195"/>
    <col min="1283" max="1283" width="10.7109375" style="1195" customWidth="1"/>
    <col min="1284" max="1284" width="10.5703125" style="1195" customWidth="1"/>
    <col min="1285" max="1285" width="10.28515625" style="1195" customWidth="1"/>
    <col min="1286" max="1286" width="13.28515625" style="1195" customWidth="1"/>
    <col min="1287" max="1287" width="13.42578125" style="1195" customWidth="1"/>
    <col min="1288" max="1288" width="54.42578125" style="1195" customWidth="1"/>
    <col min="1289" max="1538" width="9.140625" style="1195"/>
    <col min="1539" max="1539" width="10.7109375" style="1195" customWidth="1"/>
    <col min="1540" max="1540" width="10.5703125" style="1195" customWidth="1"/>
    <col min="1541" max="1541" width="10.28515625" style="1195" customWidth="1"/>
    <col min="1542" max="1542" width="13.28515625" style="1195" customWidth="1"/>
    <col min="1543" max="1543" width="13.42578125" style="1195" customWidth="1"/>
    <col min="1544" max="1544" width="54.42578125" style="1195" customWidth="1"/>
    <col min="1545" max="1794" width="9.140625" style="1195"/>
    <col min="1795" max="1795" width="10.7109375" style="1195" customWidth="1"/>
    <col min="1796" max="1796" width="10.5703125" style="1195" customWidth="1"/>
    <col min="1797" max="1797" width="10.28515625" style="1195" customWidth="1"/>
    <col min="1798" max="1798" width="13.28515625" style="1195" customWidth="1"/>
    <col min="1799" max="1799" width="13.42578125" style="1195" customWidth="1"/>
    <col min="1800" max="1800" width="54.42578125" style="1195" customWidth="1"/>
    <col min="1801" max="2050" width="9.140625" style="1195"/>
    <col min="2051" max="2051" width="10.7109375" style="1195" customWidth="1"/>
    <col min="2052" max="2052" width="10.5703125" style="1195" customWidth="1"/>
    <col min="2053" max="2053" width="10.28515625" style="1195" customWidth="1"/>
    <col min="2054" max="2054" width="13.28515625" style="1195" customWidth="1"/>
    <col min="2055" max="2055" width="13.42578125" style="1195" customWidth="1"/>
    <col min="2056" max="2056" width="54.42578125" style="1195" customWidth="1"/>
    <col min="2057" max="2306" width="9.140625" style="1195"/>
    <col min="2307" max="2307" width="10.7109375" style="1195" customWidth="1"/>
    <col min="2308" max="2308" width="10.5703125" style="1195" customWidth="1"/>
    <col min="2309" max="2309" width="10.28515625" style="1195" customWidth="1"/>
    <col min="2310" max="2310" width="13.28515625" style="1195" customWidth="1"/>
    <col min="2311" max="2311" width="13.42578125" style="1195" customWidth="1"/>
    <col min="2312" max="2312" width="54.42578125" style="1195" customWidth="1"/>
    <col min="2313" max="2562" width="9.140625" style="1195"/>
    <col min="2563" max="2563" width="10.7109375" style="1195" customWidth="1"/>
    <col min="2564" max="2564" width="10.5703125" style="1195" customWidth="1"/>
    <col min="2565" max="2565" width="10.28515625" style="1195" customWidth="1"/>
    <col min="2566" max="2566" width="13.28515625" style="1195" customWidth="1"/>
    <col min="2567" max="2567" width="13.42578125" style="1195" customWidth="1"/>
    <col min="2568" max="2568" width="54.42578125" style="1195" customWidth="1"/>
    <col min="2569" max="2818" width="9.140625" style="1195"/>
    <col min="2819" max="2819" width="10.7109375" style="1195" customWidth="1"/>
    <col min="2820" max="2820" width="10.5703125" style="1195" customWidth="1"/>
    <col min="2821" max="2821" width="10.28515625" style="1195" customWidth="1"/>
    <col min="2822" max="2822" width="13.28515625" style="1195" customWidth="1"/>
    <col min="2823" max="2823" width="13.42578125" style="1195" customWidth="1"/>
    <col min="2824" max="2824" width="54.42578125" style="1195" customWidth="1"/>
    <col min="2825" max="3074" width="9.140625" style="1195"/>
    <col min="3075" max="3075" width="10.7109375" style="1195" customWidth="1"/>
    <col min="3076" max="3076" width="10.5703125" style="1195" customWidth="1"/>
    <col min="3077" max="3077" width="10.28515625" style="1195" customWidth="1"/>
    <col min="3078" max="3078" width="13.28515625" style="1195" customWidth="1"/>
    <col min="3079" max="3079" width="13.42578125" style="1195" customWidth="1"/>
    <col min="3080" max="3080" width="54.42578125" style="1195" customWidth="1"/>
    <col min="3081" max="3330" width="9.140625" style="1195"/>
    <col min="3331" max="3331" width="10.7109375" style="1195" customWidth="1"/>
    <col min="3332" max="3332" width="10.5703125" style="1195" customWidth="1"/>
    <col min="3333" max="3333" width="10.28515625" style="1195" customWidth="1"/>
    <col min="3334" max="3334" width="13.28515625" style="1195" customWidth="1"/>
    <col min="3335" max="3335" width="13.42578125" style="1195" customWidth="1"/>
    <col min="3336" max="3336" width="54.42578125" style="1195" customWidth="1"/>
    <col min="3337" max="3586" width="9.140625" style="1195"/>
    <col min="3587" max="3587" width="10.7109375" style="1195" customWidth="1"/>
    <col min="3588" max="3588" width="10.5703125" style="1195" customWidth="1"/>
    <col min="3589" max="3589" width="10.28515625" style="1195" customWidth="1"/>
    <col min="3590" max="3590" width="13.28515625" style="1195" customWidth="1"/>
    <col min="3591" max="3591" width="13.42578125" style="1195" customWidth="1"/>
    <col min="3592" max="3592" width="54.42578125" style="1195" customWidth="1"/>
    <col min="3593" max="3842" width="9.140625" style="1195"/>
    <col min="3843" max="3843" width="10.7109375" style="1195" customWidth="1"/>
    <col min="3844" max="3844" width="10.5703125" style="1195" customWidth="1"/>
    <col min="3845" max="3845" width="10.28515625" style="1195" customWidth="1"/>
    <col min="3846" max="3846" width="13.28515625" style="1195" customWidth="1"/>
    <col min="3847" max="3847" width="13.42578125" style="1195" customWidth="1"/>
    <col min="3848" max="3848" width="54.42578125" style="1195" customWidth="1"/>
    <col min="3849" max="4098" width="9.140625" style="1195"/>
    <col min="4099" max="4099" width="10.7109375" style="1195" customWidth="1"/>
    <col min="4100" max="4100" width="10.5703125" style="1195" customWidth="1"/>
    <col min="4101" max="4101" width="10.28515625" style="1195" customWidth="1"/>
    <col min="4102" max="4102" width="13.28515625" style="1195" customWidth="1"/>
    <col min="4103" max="4103" width="13.42578125" style="1195" customWidth="1"/>
    <col min="4104" max="4104" width="54.42578125" style="1195" customWidth="1"/>
    <col min="4105" max="4354" width="9.140625" style="1195"/>
    <col min="4355" max="4355" width="10.7109375" style="1195" customWidth="1"/>
    <col min="4356" max="4356" width="10.5703125" style="1195" customWidth="1"/>
    <col min="4357" max="4357" width="10.28515625" style="1195" customWidth="1"/>
    <col min="4358" max="4358" width="13.28515625" style="1195" customWidth="1"/>
    <col min="4359" max="4359" width="13.42578125" style="1195" customWidth="1"/>
    <col min="4360" max="4360" width="54.42578125" style="1195" customWidth="1"/>
    <col min="4361" max="4610" width="9.140625" style="1195"/>
    <col min="4611" max="4611" width="10.7109375" style="1195" customWidth="1"/>
    <col min="4612" max="4612" width="10.5703125" style="1195" customWidth="1"/>
    <col min="4613" max="4613" width="10.28515625" style="1195" customWidth="1"/>
    <col min="4614" max="4614" width="13.28515625" style="1195" customWidth="1"/>
    <col min="4615" max="4615" width="13.42578125" style="1195" customWidth="1"/>
    <col min="4616" max="4616" width="54.42578125" style="1195" customWidth="1"/>
    <col min="4617" max="4866" width="9.140625" style="1195"/>
    <col min="4867" max="4867" width="10.7109375" style="1195" customWidth="1"/>
    <col min="4868" max="4868" width="10.5703125" style="1195" customWidth="1"/>
    <col min="4869" max="4869" width="10.28515625" style="1195" customWidth="1"/>
    <col min="4870" max="4870" width="13.28515625" style="1195" customWidth="1"/>
    <col min="4871" max="4871" width="13.42578125" style="1195" customWidth="1"/>
    <col min="4872" max="4872" width="54.42578125" style="1195" customWidth="1"/>
    <col min="4873" max="5122" width="9.140625" style="1195"/>
    <col min="5123" max="5123" width="10.7109375" style="1195" customWidth="1"/>
    <col min="5124" max="5124" width="10.5703125" style="1195" customWidth="1"/>
    <col min="5125" max="5125" width="10.28515625" style="1195" customWidth="1"/>
    <col min="5126" max="5126" width="13.28515625" style="1195" customWidth="1"/>
    <col min="5127" max="5127" width="13.42578125" style="1195" customWidth="1"/>
    <col min="5128" max="5128" width="54.42578125" style="1195" customWidth="1"/>
    <col min="5129" max="5378" width="9.140625" style="1195"/>
    <col min="5379" max="5379" width="10.7109375" style="1195" customWidth="1"/>
    <col min="5380" max="5380" width="10.5703125" style="1195" customWidth="1"/>
    <col min="5381" max="5381" width="10.28515625" style="1195" customWidth="1"/>
    <col min="5382" max="5382" width="13.28515625" style="1195" customWidth="1"/>
    <col min="5383" max="5383" width="13.42578125" style="1195" customWidth="1"/>
    <col min="5384" max="5384" width="54.42578125" style="1195" customWidth="1"/>
    <col min="5385" max="5634" width="9.140625" style="1195"/>
    <col min="5635" max="5635" width="10.7109375" style="1195" customWidth="1"/>
    <col min="5636" max="5636" width="10.5703125" style="1195" customWidth="1"/>
    <col min="5637" max="5637" width="10.28515625" style="1195" customWidth="1"/>
    <col min="5638" max="5638" width="13.28515625" style="1195" customWidth="1"/>
    <col min="5639" max="5639" width="13.42578125" style="1195" customWidth="1"/>
    <col min="5640" max="5640" width="54.42578125" style="1195" customWidth="1"/>
    <col min="5641" max="5890" width="9.140625" style="1195"/>
    <col min="5891" max="5891" width="10.7109375" style="1195" customWidth="1"/>
    <col min="5892" max="5892" width="10.5703125" style="1195" customWidth="1"/>
    <col min="5893" max="5893" width="10.28515625" style="1195" customWidth="1"/>
    <col min="5894" max="5894" width="13.28515625" style="1195" customWidth="1"/>
    <col min="5895" max="5895" width="13.42578125" style="1195" customWidth="1"/>
    <col min="5896" max="5896" width="54.42578125" style="1195" customWidth="1"/>
    <col min="5897" max="6146" width="9.140625" style="1195"/>
    <col min="6147" max="6147" width="10.7109375" style="1195" customWidth="1"/>
    <col min="6148" max="6148" width="10.5703125" style="1195" customWidth="1"/>
    <col min="6149" max="6149" width="10.28515625" style="1195" customWidth="1"/>
    <col min="6150" max="6150" width="13.28515625" style="1195" customWidth="1"/>
    <col min="6151" max="6151" width="13.42578125" style="1195" customWidth="1"/>
    <col min="6152" max="6152" width="54.42578125" style="1195" customWidth="1"/>
    <col min="6153" max="6402" width="9.140625" style="1195"/>
    <col min="6403" max="6403" width="10.7109375" style="1195" customWidth="1"/>
    <col min="6404" max="6404" width="10.5703125" style="1195" customWidth="1"/>
    <col min="6405" max="6405" width="10.28515625" style="1195" customWidth="1"/>
    <col min="6406" max="6406" width="13.28515625" style="1195" customWidth="1"/>
    <col min="6407" max="6407" width="13.42578125" style="1195" customWidth="1"/>
    <col min="6408" max="6408" width="54.42578125" style="1195" customWidth="1"/>
    <col min="6409" max="6658" width="9.140625" style="1195"/>
    <col min="6659" max="6659" width="10.7109375" style="1195" customWidth="1"/>
    <col min="6660" max="6660" width="10.5703125" style="1195" customWidth="1"/>
    <col min="6661" max="6661" width="10.28515625" style="1195" customWidth="1"/>
    <col min="6662" max="6662" width="13.28515625" style="1195" customWidth="1"/>
    <col min="6663" max="6663" width="13.42578125" style="1195" customWidth="1"/>
    <col min="6664" max="6664" width="54.42578125" style="1195" customWidth="1"/>
    <col min="6665" max="6914" width="9.140625" style="1195"/>
    <col min="6915" max="6915" width="10.7109375" style="1195" customWidth="1"/>
    <col min="6916" max="6916" width="10.5703125" style="1195" customWidth="1"/>
    <col min="6917" max="6917" width="10.28515625" style="1195" customWidth="1"/>
    <col min="6918" max="6918" width="13.28515625" style="1195" customWidth="1"/>
    <col min="6919" max="6919" width="13.42578125" style="1195" customWidth="1"/>
    <col min="6920" max="6920" width="54.42578125" style="1195" customWidth="1"/>
    <col min="6921" max="7170" width="9.140625" style="1195"/>
    <col min="7171" max="7171" width="10.7109375" style="1195" customWidth="1"/>
    <col min="7172" max="7172" width="10.5703125" style="1195" customWidth="1"/>
    <col min="7173" max="7173" width="10.28515625" style="1195" customWidth="1"/>
    <col min="7174" max="7174" width="13.28515625" style="1195" customWidth="1"/>
    <col min="7175" max="7175" width="13.42578125" style="1195" customWidth="1"/>
    <col min="7176" max="7176" width="54.42578125" style="1195" customWidth="1"/>
    <col min="7177" max="7426" width="9.140625" style="1195"/>
    <col min="7427" max="7427" width="10.7109375" style="1195" customWidth="1"/>
    <col min="7428" max="7428" width="10.5703125" style="1195" customWidth="1"/>
    <col min="7429" max="7429" width="10.28515625" style="1195" customWidth="1"/>
    <col min="7430" max="7430" width="13.28515625" style="1195" customWidth="1"/>
    <col min="7431" max="7431" width="13.42578125" style="1195" customWidth="1"/>
    <col min="7432" max="7432" width="54.42578125" style="1195" customWidth="1"/>
    <col min="7433" max="7682" width="9.140625" style="1195"/>
    <col min="7683" max="7683" width="10.7109375" style="1195" customWidth="1"/>
    <col min="7684" max="7684" width="10.5703125" style="1195" customWidth="1"/>
    <col min="7685" max="7685" width="10.28515625" style="1195" customWidth="1"/>
    <col min="7686" max="7686" width="13.28515625" style="1195" customWidth="1"/>
    <col min="7687" max="7687" width="13.42578125" style="1195" customWidth="1"/>
    <col min="7688" max="7688" width="54.42578125" style="1195" customWidth="1"/>
    <col min="7689" max="7938" width="9.140625" style="1195"/>
    <col min="7939" max="7939" width="10.7109375" style="1195" customWidth="1"/>
    <col min="7940" max="7940" width="10.5703125" style="1195" customWidth="1"/>
    <col min="7941" max="7941" width="10.28515625" style="1195" customWidth="1"/>
    <col min="7942" max="7942" width="13.28515625" style="1195" customWidth="1"/>
    <col min="7943" max="7943" width="13.42578125" style="1195" customWidth="1"/>
    <col min="7944" max="7944" width="54.42578125" style="1195" customWidth="1"/>
    <col min="7945" max="8194" width="9.140625" style="1195"/>
    <col min="8195" max="8195" width="10.7109375" style="1195" customWidth="1"/>
    <col min="8196" max="8196" width="10.5703125" style="1195" customWidth="1"/>
    <col min="8197" max="8197" width="10.28515625" style="1195" customWidth="1"/>
    <col min="8198" max="8198" width="13.28515625" style="1195" customWidth="1"/>
    <col min="8199" max="8199" width="13.42578125" style="1195" customWidth="1"/>
    <col min="8200" max="8200" width="54.42578125" style="1195" customWidth="1"/>
    <col min="8201" max="8450" width="9.140625" style="1195"/>
    <col min="8451" max="8451" width="10.7109375" style="1195" customWidth="1"/>
    <col min="8452" max="8452" width="10.5703125" style="1195" customWidth="1"/>
    <col min="8453" max="8453" width="10.28515625" style="1195" customWidth="1"/>
    <col min="8454" max="8454" width="13.28515625" style="1195" customWidth="1"/>
    <col min="8455" max="8455" width="13.42578125" style="1195" customWidth="1"/>
    <col min="8456" max="8456" width="54.42578125" style="1195" customWidth="1"/>
    <col min="8457" max="8706" width="9.140625" style="1195"/>
    <col min="8707" max="8707" width="10.7109375" style="1195" customWidth="1"/>
    <col min="8708" max="8708" width="10.5703125" style="1195" customWidth="1"/>
    <col min="8709" max="8709" width="10.28515625" style="1195" customWidth="1"/>
    <col min="8710" max="8710" width="13.28515625" style="1195" customWidth="1"/>
    <col min="8711" max="8711" width="13.42578125" style="1195" customWidth="1"/>
    <col min="8712" max="8712" width="54.42578125" style="1195" customWidth="1"/>
    <col min="8713" max="8962" width="9.140625" style="1195"/>
    <col min="8963" max="8963" width="10.7109375" style="1195" customWidth="1"/>
    <col min="8964" max="8964" width="10.5703125" style="1195" customWidth="1"/>
    <col min="8965" max="8965" width="10.28515625" style="1195" customWidth="1"/>
    <col min="8966" max="8966" width="13.28515625" style="1195" customWidth="1"/>
    <col min="8967" max="8967" width="13.42578125" style="1195" customWidth="1"/>
    <col min="8968" max="8968" width="54.42578125" style="1195" customWidth="1"/>
    <col min="8969" max="9218" width="9.140625" style="1195"/>
    <col min="9219" max="9219" width="10.7109375" style="1195" customWidth="1"/>
    <col min="9220" max="9220" width="10.5703125" style="1195" customWidth="1"/>
    <col min="9221" max="9221" width="10.28515625" style="1195" customWidth="1"/>
    <col min="9222" max="9222" width="13.28515625" style="1195" customWidth="1"/>
    <col min="9223" max="9223" width="13.42578125" style="1195" customWidth="1"/>
    <col min="9224" max="9224" width="54.42578125" style="1195" customWidth="1"/>
    <col min="9225" max="9474" width="9.140625" style="1195"/>
    <col min="9475" max="9475" width="10.7109375" style="1195" customWidth="1"/>
    <col min="9476" max="9476" width="10.5703125" style="1195" customWidth="1"/>
    <col min="9477" max="9477" width="10.28515625" style="1195" customWidth="1"/>
    <col min="9478" max="9478" width="13.28515625" style="1195" customWidth="1"/>
    <col min="9479" max="9479" width="13.42578125" style="1195" customWidth="1"/>
    <col min="9480" max="9480" width="54.42578125" style="1195" customWidth="1"/>
    <col min="9481" max="9730" width="9.140625" style="1195"/>
    <col min="9731" max="9731" width="10.7109375" style="1195" customWidth="1"/>
    <col min="9732" max="9732" width="10.5703125" style="1195" customWidth="1"/>
    <col min="9733" max="9733" width="10.28515625" style="1195" customWidth="1"/>
    <col min="9734" max="9734" width="13.28515625" style="1195" customWidth="1"/>
    <col min="9735" max="9735" width="13.42578125" style="1195" customWidth="1"/>
    <col min="9736" max="9736" width="54.42578125" style="1195" customWidth="1"/>
    <col min="9737" max="9986" width="9.140625" style="1195"/>
    <col min="9987" max="9987" width="10.7109375" style="1195" customWidth="1"/>
    <col min="9988" max="9988" width="10.5703125" style="1195" customWidth="1"/>
    <col min="9989" max="9989" width="10.28515625" style="1195" customWidth="1"/>
    <col min="9990" max="9990" width="13.28515625" style="1195" customWidth="1"/>
    <col min="9991" max="9991" width="13.42578125" style="1195" customWidth="1"/>
    <col min="9992" max="9992" width="54.42578125" style="1195" customWidth="1"/>
    <col min="9993" max="10242" width="9.140625" style="1195"/>
    <col min="10243" max="10243" width="10.7109375" style="1195" customWidth="1"/>
    <col min="10244" max="10244" width="10.5703125" style="1195" customWidth="1"/>
    <col min="10245" max="10245" width="10.28515625" style="1195" customWidth="1"/>
    <col min="10246" max="10246" width="13.28515625" style="1195" customWidth="1"/>
    <col min="10247" max="10247" width="13.42578125" style="1195" customWidth="1"/>
    <col min="10248" max="10248" width="54.42578125" style="1195" customWidth="1"/>
    <col min="10249" max="10498" width="9.140625" style="1195"/>
    <col min="10499" max="10499" width="10.7109375" style="1195" customWidth="1"/>
    <col min="10500" max="10500" width="10.5703125" style="1195" customWidth="1"/>
    <col min="10501" max="10501" width="10.28515625" style="1195" customWidth="1"/>
    <col min="10502" max="10502" width="13.28515625" style="1195" customWidth="1"/>
    <col min="10503" max="10503" width="13.42578125" style="1195" customWidth="1"/>
    <col min="10504" max="10504" width="54.42578125" style="1195" customWidth="1"/>
    <col min="10505" max="10754" width="9.140625" style="1195"/>
    <col min="10755" max="10755" width="10.7109375" style="1195" customWidth="1"/>
    <col min="10756" max="10756" width="10.5703125" style="1195" customWidth="1"/>
    <col min="10757" max="10757" width="10.28515625" style="1195" customWidth="1"/>
    <col min="10758" max="10758" width="13.28515625" style="1195" customWidth="1"/>
    <col min="10759" max="10759" width="13.42578125" style="1195" customWidth="1"/>
    <col min="10760" max="10760" width="54.42578125" style="1195" customWidth="1"/>
    <col min="10761" max="11010" width="9.140625" style="1195"/>
    <col min="11011" max="11011" width="10.7109375" style="1195" customWidth="1"/>
    <col min="11012" max="11012" width="10.5703125" style="1195" customWidth="1"/>
    <col min="11013" max="11013" width="10.28515625" style="1195" customWidth="1"/>
    <col min="11014" max="11014" width="13.28515625" style="1195" customWidth="1"/>
    <col min="11015" max="11015" width="13.42578125" style="1195" customWidth="1"/>
    <col min="11016" max="11016" width="54.42578125" style="1195" customWidth="1"/>
    <col min="11017" max="11266" width="9.140625" style="1195"/>
    <col min="11267" max="11267" width="10.7109375" style="1195" customWidth="1"/>
    <col min="11268" max="11268" width="10.5703125" style="1195" customWidth="1"/>
    <col min="11269" max="11269" width="10.28515625" style="1195" customWidth="1"/>
    <col min="11270" max="11270" width="13.28515625" style="1195" customWidth="1"/>
    <col min="11271" max="11271" width="13.42578125" style="1195" customWidth="1"/>
    <col min="11272" max="11272" width="54.42578125" style="1195" customWidth="1"/>
    <col min="11273" max="11522" width="9.140625" style="1195"/>
    <col min="11523" max="11523" width="10.7109375" style="1195" customWidth="1"/>
    <col min="11524" max="11524" width="10.5703125" style="1195" customWidth="1"/>
    <col min="11525" max="11525" width="10.28515625" style="1195" customWidth="1"/>
    <col min="11526" max="11526" width="13.28515625" style="1195" customWidth="1"/>
    <col min="11527" max="11527" width="13.42578125" style="1195" customWidth="1"/>
    <col min="11528" max="11528" width="54.42578125" style="1195" customWidth="1"/>
    <col min="11529" max="11778" width="9.140625" style="1195"/>
    <col min="11779" max="11779" width="10.7109375" style="1195" customWidth="1"/>
    <col min="11780" max="11780" width="10.5703125" style="1195" customWidth="1"/>
    <col min="11781" max="11781" width="10.28515625" style="1195" customWidth="1"/>
    <col min="11782" max="11782" width="13.28515625" style="1195" customWidth="1"/>
    <col min="11783" max="11783" width="13.42578125" style="1195" customWidth="1"/>
    <col min="11784" max="11784" width="54.42578125" style="1195" customWidth="1"/>
    <col min="11785" max="12034" width="9.140625" style="1195"/>
    <col min="12035" max="12035" width="10.7109375" style="1195" customWidth="1"/>
    <col min="12036" max="12036" width="10.5703125" style="1195" customWidth="1"/>
    <col min="12037" max="12037" width="10.28515625" style="1195" customWidth="1"/>
    <col min="12038" max="12038" width="13.28515625" style="1195" customWidth="1"/>
    <col min="12039" max="12039" width="13.42578125" style="1195" customWidth="1"/>
    <col min="12040" max="12040" width="54.42578125" style="1195" customWidth="1"/>
    <col min="12041" max="12290" width="9.140625" style="1195"/>
    <col min="12291" max="12291" width="10.7109375" style="1195" customWidth="1"/>
    <col min="12292" max="12292" width="10.5703125" style="1195" customWidth="1"/>
    <col min="12293" max="12293" width="10.28515625" style="1195" customWidth="1"/>
    <col min="12294" max="12294" width="13.28515625" style="1195" customWidth="1"/>
    <col min="12295" max="12295" width="13.42578125" style="1195" customWidth="1"/>
    <col min="12296" max="12296" width="54.42578125" style="1195" customWidth="1"/>
    <col min="12297" max="12546" width="9.140625" style="1195"/>
    <col min="12547" max="12547" width="10.7109375" style="1195" customWidth="1"/>
    <col min="12548" max="12548" width="10.5703125" style="1195" customWidth="1"/>
    <col min="12549" max="12549" width="10.28515625" style="1195" customWidth="1"/>
    <col min="12550" max="12550" width="13.28515625" style="1195" customWidth="1"/>
    <col min="12551" max="12551" width="13.42578125" style="1195" customWidth="1"/>
    <col min="12552" max="12552" width="54.42578125" style="1195" customWidth="1"/>
    <col min="12553" max="12802" width="9.140625" style="1195"/>
    <col min="12803" max="12803" width="10.7109375" style="1195" customWidth="1"/>
    <col min="12804" max="12804" width="10.5703125" style="1195" customWidth="1"/>
    <col min="12805" max="12805" width="10.28515625" style="1195" customWidth="1"/>
    <col min="12806" max="12806" width="13.28515625" style="1195" customWidth="1"/>
    <col min="12807" max="12807" width="13.42578125" style="1195" customWidth="1"/>
    <col min="12808" max="12808" width="54.42578125" style="1195" customWidth="1"/>
    <col min="12809" max="13058" width="9.140625" style="1195"/>
    <col min="13059" max="13059" width="10.7109375" style="1195" customWidth="1"/>
    <col min="13060" max="13060" width="10.5703125" style="1195" customWidth="1"/>
    <col min="13061" max="13061" width="10.28515625" style="1195" customWidth="1"/>
    <col min="13062" max="13062" width="13.28515625" style="1195" customWidth="1"/>
    <col min="13063" max="13063" width="13.42578125" style="1195" customWidth="1"/>
    <col min="13064" max="13064" width="54.42578125" style="1195" customWidth="1"/>
    <col min="13065" max="13314" width="9.140625" style="1195"/>
    <col min="13315" max="13315" width="10.7109375" style="1195" customWidth="1"/>
    <col min="13316" max="13316" width="10.5703125" style="1195" customWidth="1"/>
    <col min="13317" max="13317" width="10.28515625" style="1195" customWidth="1"/>
    <col min="13318" max="13318" width="13.28515625" style="1195" customWidth="1"/>
    <col min="13319" max="13319" width="13.42578125" style="1195" customWidth="1"/>
    <col min="13320" max="13320" width="54.42578125" style="1195" customWidth="1"/>
    <col min="13321" max="13570" width="9.140625" style="1195"/>
    <col min="13571" max="13571" width="10.7109375" style="1195" customWidth="1"/>
    <col min="13572" max="13572" width="10.5703125" style="1195" customWidth="1"/>
    <col min="13573" max="13573" width="10.28515625" style="1195" customWidth="1"/>
    <col min="13574" max="13574" width="13.28515625" style="1195" customWidth="1"/>
    <col min="13575" max="13575" width="13.42578125" style="1195" customWidth="1"/>
    <col min="13576" max="13576" width="54.42578125" style="1195" customWidth="1"/>
    <col min="13577" max="13826" width="9.140625" style="1195"/>
    <col min="13827" max="13827" width="10.7109375" style="1195" customWidth="1"/>
    <col min="13828" max="13828" width="10.5703125" style="1195" customWidth="1"/>
    <col min="13829" max="13829" width="10.28515625" style="1195" customWidth="1"/>
    <col min="13830" max="13830" width="13.28515625" style="1195" customWidth="1"/>
    <col min="13831" max="13831" width="13.42578125" style="1195" customWidth="1"/>
    <col min="13832" max="13832" width="54.42578125" style="1195" customWidth="1"/>
    <col min="13833" max="14082" width="9.140625" style="1195"/>
    <col min="14083" max="14083" width="10.7109375" style="1195" customWidth="1"/>
    <col min="14084" max="14084" width="10.5703125" style="1195" customWidth="1"/>
    <col min="14085" max="14085" width="10.28515625" style="1195" customWidth="1"/>
    <col min="14086" max="14086" width="13.28515625" style="1195" customWidth="1"/>
    <col min="14087" max="14087" width="13.42578125" style="1195" customWidth="1"/>
    <col min="14088" max="14088" width="54.42578125" style="1195" customWidth="1"/>
    <col min="14089" max="14338" width="9.140625" style="1195"/>
    <col min="14339" max="14339" width="10.7109375" style="1195" customWidth="1"/>
    <col min="14340" max="14340" width="10.5703125" style="1195" customWidth="1"/>
    <col min="14341" max="14341" width="10.28515625" style="1195" customWidth="1"/>
    <col min="14342" max="14342" width="13.28515625" style="1195" customWidth="1"/>
    <col min="14343" max="14343" width="13.42578125" style="1195" customWidth="1"/>
    <col min="14344" max="14344" width="54.42578125" style="1195" customWidth="1"/>
    <col min="14345" max="14594" width="9.140625" style="1195"/>
    <col min="14595" max="14595" width="10.7109375" style="1195" customWidth="1"/>
    <col min="14596" max="14596" width="10.5703125" style="1195" customWidth="1"/>
    <col min="14597" max="14597" width="10.28515625" style="1195" customWidth="1"/>
    <col min="14598" max="14598" width="13.28515625" style="1195" customWidth="1"/>
    <col min="14599" max="14599" width="13.42578125" style="1195" customWidth="1"/>
    <col min="14600" max="14600" width="54.42578125" style="1195" customWidth="1"/>
    <col min="14601" max="14850" width="9.140625" style="1195"/>
    <col min="14851" max="14851" width="10.7109375" style="1195" customWidth="1"/>
    <col min="14852" max="14852" width="10.5703125" style="1195" customWidth="1"/>
    <col min="14853" max="14853" width="10.28515625" style="1195" customWidth="1"/>
    <col min="14854" max="14854" width="13.28515625" style="1195" customWidth="1"/>
    <col min="14855" max="14855" width="13.42578125" style="1195" customWidth="1"/>
    <col min="14856" max="14856" width="54.42578125" style="1195" customWidth="1"/>
    <col min="14857" max="15106" width="9.140625" style="1195"/>
    <col min="15107" max="15107" width="10.7109375" style="1195" customWidth="1"/>
    <col min="15108" max="15108" width="10.5703125" style="1195" customWidth="1"/>
    <col min="15109" max="15109" width="10.28515625" style="1195" customWidth="1"/>
    <col min="15110" max="15110" width="13.28515625" style="1195" customWidth="1"/>
    <col min="15111" max="15111" width="13.42578125" style="1195" customWidth="1"/>
    <col min="15112" max="15112" width="54.42578125" style="1195" customWidth="1"/>
    <col min="15113" max="15362" width="9.140625" style="1195"/>
    <col min="15363" max="15363" width="10.7109375" style="1195" customWidth="1"/>
    <col min="15364" max="15364" width="10.5703125" style="1195" customWidth="1"/>
    <col min="15365" max="15365" width="10.28515625" style="1195" customWidth="1"/>
    <col min="15366" max="15366" width="13.28515625" style="1195" customWidth="1"/>
    <col min="15367" max="15367" width="13.42578125" style="1195" customWidth="1"/>
    <col min="15368" max="15368" width="54.42578125" style="1195" customWidth="1"/>
    <col min="15369" max="15618" width="9.140625" style="1195"/>
    <col min="15619" max="15619" width="10.7109375" style="1195" customWidth="1"/>
    <col min="15620" max="15620" width="10.5703125" style="1195" customWidth="1"/>
    <col min="15621" max="15621" width="10.28515625" style="1195" customWidth="1"/>
    <col min="15622" max="15622" width="13.28515625" style="1195" customWidth="1"/>
    <col min="15623" max="15623" width="13.42578125" style="1195" customWidth="1"/>
    <col min="15624" max="15624" width="54.42578125" style="1195" customWidth="1"/>
    <col min="15625" max="15874" width="9.140625" style="1195"/>
    <col min="15875" max="15875" width="10.7109375" style="1195" customWidth="1"/>
    <col min="15876" max="15876" width="10.5703125" style="1195" customWidth="1"/>
    <col min="15877" max="15877" width="10.28515625" style="1195" customWidth="1"/>
    <col min="15878" max="15878" width="13.28515625" style="1195" customWidth="1"/>
    <col min="15879" max="15879" width="13.42578125" style="1195" customWidth="1"/>
    <col min="15880" max="15880" width="54.42578125" style="1195" customWidth="1"/>
    <col min="15881" max="16130" width="9.140625" style="1195"/>
    <col min="16131" max="16131" width="10.7109375" style="1195" customWidth="1"/>
    <col min="16132" max="16132" width="10.5703125" style="1195" customWidth="1"/>
    <col min="16133" max="16133" width="10.28515625" style="1195" customWidth="1"/>
    <col min="16134" max="16134" width="13.28515625" style="1195" customWidth="1"/>
    <col min="16135" max="16135" width="13.42578125" style="1195" customWidth="1"/>
    <col min="16136" max="16136" width="54.42578125" style="1195" customWidth="1"/>
    <col min="16137" max="16384" width="9.140625" style="1195"/>
  </cols>
  <sheetData>
    <row r="1" spans="1:8" ht="51" customHeight="1">
      <c r="A1" s="4830"/>
      <c r="B1" s="4830"/>
      <c r="C1" s="4830"/>
      <c r="D1" s="4830"/>
      <c r="E1" s="4831"/>
      <c r="F1" s="4681" t="s">
        <v>1455</v>
      </c>
      <c r="G1" s="4681"/>
      <c r="H1" s="4681"/>
    </row>
    <row r="2" spans="1:8" ht="45.75" customHeight="1">
      <c r="A2" s="4832" t="s">
        <v>854</v>
      </c>
      <c r="B2" s="4832"/>
      <c r="C2" s="4832"/>
      <c r="D2" s="4832"/>
      <c r="E2" s="4832"/>
      <c r="F2" s="4832"/>
      <c r="G2" s="4832"/>
      <c r="H2" s="4832"/>
    </row>
    <row r="3" spans="1:8" ht="13.5" thickBot="1">
      <c r="A3" s="1575"/>
      <c r="B3" s="1575"/>
      <c r="C3" s="1575"/>
      <c r="D3" s="1575"/>
      <c r="E3" s="1575"/>
      <c r="F3" s="1417"/>
      <c r="G3" s="1417"/>
      <c r="H3" s="1221" t="s">
        <v>801</v>
      </c>
    </row>
    <row r="4" spans="1:8" ht="15.75" thickBot="1">
      <c r="A4" s="4827" t="s">
        <v>2</v>
      </c>
      <c r="B4" s="4827" t="s">
        <v>651</v>
      </c>
      <c r="C4" s="4827" t="s">
        <v>853</v>
      </c>
      <c r="D4" s="4827" t="s">
        <v>5</v>
      </c>
      <c r="E4" s="4833" t="s">
        <v>845</v>
      </c>
      <c r="F4" s="4835" t="s">
        <v>852</v>
      </c>
      <c r="G4" s="4836"/>
      <c r="H4" s="4827" t="s">
        <v>851</v>
      </c>
    </row>
    <row r="5" spans="1:8" ht="15.75" thickBot="1">
      <c r="A5" s="4828"/>
      <c r="B5" s="4828"/>
      <c r="C5" s="4828"/>
      <c r="D5" s="4828"/>
      <c r="E5" s="4834"/>
      <c r="F5" s="1574" t="s">
        <v>660</v>
      </c>
      <c r="G5" s="1574" t="s">
        <v>659</v>
      </c>
      <c r="H5" s="4828"/>
    </row>
    <row r="6" spans="1:8" ht="70.5" customHeight="1" thickBot="1">
      <c r="A6" s="1517" t="s">
        <v>794</v>
      </c>
      <c r="B6" s="1517" t="s">
        <v>793</v>
      </c>
      <c r="C6" s="1573" t="s">
        <v>850</v>
      </c>
      <c r="D6" s="1572" t="s">
        <v>849</v>
      </c>
      <c r="E6" s="1513">
        <f>SUM(F6:G6)</f>
        <v>43604000</v>
      </c>
      <c r="F6" s="1513">
        <v>43604000</v>
      </c>
      <c r="G6" s="1513">
        <v>0</v>
      </c>
      <c r="H6" s="1553" t="s">
        <v>848</v>
      </c>
    </row>
    <row r="7" spans="1:8" ht="36.75" customHeight="1" thickBot="1">
      <c r="A7" s="4829" t="s">
        <v>847</v>
      </c>
      <c r="B7" s="4829"/>
      <c r="C7" s="1571"/>
      <c r="D7" s="1571"/>
      <c r="E7" s="1570">
        <f>SUM(E6:E6)</f>
        <v>43604000</v>
      </c>
      <c r="F7" s="1570">
        <f>SUM(F6:F6)</f>
        <v>43604000</v>
      </c>
      <c r="G7" s="1570">
        <f>SUM(G6)</f>
        <v>0</v>
      </c>
      <c r="H7" s="1569"/>
    </row>
    <row r="534" spans="17:17">
      <c r="Q534" s="1195">
        <f>P534-O534</f>
        <v>0</v>
      </c>
    </row>
  </sheetData>
  <sheetProtection algorithmName="SHA-512" hashValue="yU/eGJp9MzwtzaRkS4eNhwtBOdVCsAFLfYQbklcFnOOzj8Uk5VB6kPyEkQaILJvvD8N35YaOXZpKCftS4lTD1w==" saltValue="VlnNu6PEb6j/bWGwtfoVgQ==" spinCount="100000" sheet="1" objects="1" scenarios="1"/>
  <mergeCells count="11">
    <mergeCell ref="H4:H5"/>
    <mergeCell ref="A7:B7"/>
    <mergeCell ref="A1:E1"/>
    <mergeCell ref="F1:H1"/>
    <mergeCell ref="A2:H2"/>
    <mergeCell ref="A4:A5"/>
    <mergeCell ref="B4:B5"/>
    <mergeCell ref="C4:C5"/>
    <mergeCell ref="D4:D5"/>
    <mergeCell ref="E4:E5"/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89A9-7EE0-42D1-BDD6-CE8DFD7824A2}">
  <sheetPr>
    <tabColor rgb="FF99FF33"/>
  </sheetPr>
  <dimension ref="A1:Q534"/>
  <sheetViews>
    <sheetView view="pageBreakPreview" topLeftCell="D10" zoomScaleNormal="100" zoomScaleSheetLayoutView="100" workbookViewId="0">
      <selection activeCell="R6" sqref="R6"/>
    </sheetView>
  </sheetViews>
  <sheetFormatPr defaultRowHeight="12.75"/>
  <cols>
    <col min="1" max="1" width="7" style="1194" customWidth="1"/>
    <col min="2" max="2" width="10.28515625" style="1194" customWidth="1"/>
    <col min="3" max="3" width="24" style="1194" customWidth="1"/>
    <col min="4" max="4" width="11" style="1194" customWidth="1"/>
    <col min="5" max="5" width="13.42578125" style="1194" customWidth="1"/>
    <col min="6" max="7" width="15.7109375" style="1194" customWidth="1"/>
    <col min="8" max="8" width="16" style="1194" customWidth="1"/>
    <col min="9" max="9" width="61.28515625" style="1194" customWidth="1"/>
    <col min="10" max="257" width="9.140625" style="1194"/>
    <col min="258" max="258" width="7" style="1194" customWidth="1"/>
    <col min="259" max="259" width="10.7109375" style="1194" customWidth="1"/>
    <col min="260" max="260" width="15.7109375" style="1194" customWidth="1"/>
    <col min="261" max="262" width="13.42578125" style="1194" customWidth="1"/>
    <col min="263" max="263" width="17.85546875" style="1194" customWidth="1"/>
    <col min="264" max="264" width="16" style="1194" customWidth="1"/>
    <col min="265" max="265" width="43.42578125" style="1194" customWidth="1"/>
    <col min="266" max="513" width="9.140625" style="1194"/>
    <col min="514" max="514" width="7" style="1194" customWidth="1"/>
    <col min="515" max="515" width="10.7109375" style="1194" customWidth="1"/>
    <col min="516" max="516" width="15.7109375" style="1194" customWidth="1"/>
    <col min="517" max="518" width="13.42578125" style="1194" customWidth="1"/>
    <col min="519" max="519" width="17.85546875" style="1194" customWidth="1"/>
    <col min="520" max="520" width="16" style="1194" customWidth="1"/>
    <col min="521" max="521" width="43.42578125" style="1194" customWidth="1"/>
    <col min="522" max="769" width="9.140625" style="1194"/>
    <col min="770" max="770" width="7" style="1194" customWidth="1"/>
    <col min="771" max="771" width="10.7109375" style="1194" customWidth="1"/>
    <col min="772" max="772" width="15.7109375" style="1194" customWidth="1"/>
    <col min="773" max="774" width="13.42578125" style="1194" customWidth="1"/>
    <col min="775" max="775" width="17.85546875" style="1194" customWidth="1"/>
    <col min="776" max="776" width="16" style="1194" customWidth="1"/>
    <col min="777" max="777" width="43.42578125" style="1194" customWidth="1"/>
    <col min="778" max="1025" width="9.140625" style="1194"/>
    <col min="1026" max="1026" width="7" style="1194" customWidth="1"/>
    <col min="1027" max="1027" width="10.7109375" style="1194" customWidth="1"/>
    <col min="1028" max="1028" width="15.7109375" style="1194" customWidth="1"/>
    <col min="1029" max="1030" width="13.42578125" style="1194" customWidth="1"/>
    <col min="1031" max="1031" width="17.85546875" style="1194" customWidth="1"/>
    <col min="1032" max="1032" width="16" style="1194" customWidth="1"/>
    <col min="1033" max="1033" width="43.42578125" style="1194" customWidth="1"/>
    <col min="1034" max="1281" width="9.140625" style="1194"/>
    <col min="1282" max="1282" width="7" style="1194" customWidth="1"/>
    <col min="1283" max="1283" width="10.7109375" style="1194" customWidth="1"/>
    <col min="1284" max="1284" width="15.7109375" style="1194" customWidth="1"/>
    <col min="1285" max="1286" width="13.42578125" style="1194" customWidth="1"/>
    <col min="1287" max="1287" width="17.85546875" style="1194" customWidth="1"/>
    <col min="1288" max="1288" width="16" style="1194" customWidth="1"/>
    <col min="1289" max="1289" width="43.42578125" style="1194" customWidth="1"/>
    <col min="1290" max="1537" width="9.140625" style="1194"/>
    <col min="1538" max="1538" width="7" style="1194" customWidth="1"/>
    <col min="1539" max="1539" width="10.7109375" style="1194" customWidth="1"/>
    <col min="1540" max="1540" width="15.7109375" style="1194" customWidth="1"/>
    <col min="1541" max="1542" width="13.42578125" style="1194" customWidth="1"/>
    <col min="1543" max="1543" width="17.85546875" style="1194" customWidth="1"/>
    <col min="1544" max="1544" width="16" style="1194" customWidth="1"/>
    <col min="1545" max="1545" width="43.42578125" style="1194" customWidth="1"/>
    <col min="1546" max="1793" width="9.140625" style="1194"/>
    <col min="1794" max="1794" width="7" style="1194" customWidth="1"/>
    <col min="1795" max="1795" width="10.7109375" style="1194" customWidth="1"/>
    <col min="1796" max="1796" width="15.7109375" style="1194" customWidth="1"/>
    <col min="1797" max="1798" width="13.42578125" style="1194" customWidth="1"/>
    <col min="1799" max="1799" width="17.85546875" style="1194" customWidth="1"/>
    <col min="1800" max="1800" width="16" style="1194" customWidth="1"/>
    <col min="1801" max="1801" width="43.42578125" style="1194" customWidth="1"/>
    <col min="1802" max="2049" width="9.140625" style="1194"/>
    <col min="2050" max="2050" width="7" style="1194" customWidth="1"/>
    <col min="2051" max="2051" width="10.7109375" style="1194" customWidth="1"/>
    <col min="2052" max="2052" width="15.7109375" style="1194" customWidth="1"/>
    <col min="2053" max="2054" width="13.42578125" style="1194" customWidth="1"/>
    <col min="2055" max="2055" width="17.85546875" style="1194" customWidth="1"/>
    <col min="2056" max="2056" width="16" style="1194" customWidth="1"/>
    <col min="2057" max="2057" width="43.42578125" style="1194" customWidth="1"/>
    <col min="2058" max="2305" width="9.140625" style="1194"/>
    <col min="2306" max="2306" width="7" style="1194" customWidth="1"/>
    <col min="2307" max="2307" width="10.7109375" style="1194" customWidth="1"/>
    <col min="2308" max="2308" width="15.7109375" style="1194" customWidth="1"/>
    <col min="2309" max="2310" width="13.42578125" style="1194" customWidth="1"/>
    <col min="2311" max="2311" width="17.85546875" style="1194" customWidth="1"/>
    <col min="2312" max="2312" width="16" style="1194" customWidth="1"/>
    <col min="2313" max="2313" width="43.42578125" style="1194" customWidth="1"/>
    <col min="2314" max="2561" width="9.140625" style="1194"/>
    <col min="2562" max="2562" width="7" style="1194" customWidth="1"/>
    <col min="2563" max="2563" width="10.7109375" style="1194" customWidth="1"/>
    <col min="2564" max="2564" width="15.7109375" style="1194" customWidth="1"/>
    <col min="2565" max="2566" width="13.42578125" style="1194" customWidth="1"/>
    <col min="2567" max="2567" width="17.85546875" style="1194" customWidth="1"/>
    <col min="2568" max="2568" width="16" style="1194" customWidth="1"/>
    <col min="2569" max="2569" width="43.42578125" style="1194" customWidth="1"/>
    <col min="2570" max="2817" width="9.140625" style="1194"/>
    <col min="2818" max="2818" width="7" style="1194" customWidth="1"/>
    <col min="2819" max="2819" width="10.7109375" style="1194" customWidth="1"/>
    <col min="2820" max="2820" width="15.7109375" style="1194" customWidth="1"/>
    <col min="2821" max="2822" width="13.42578125" style="1194" customWidth="1"/>
    <col min="2823" max="2823" width="17.85546875" style="1194" customWidth="1"/>
    <col min="2824" max="2824" width="16" style="1194" customWidth="1"/>
    <col min="2825" max="2825" width="43.42578125" style="1194" customWidth="1"/>
    <col min="2826" max="3073" width="9.140625" style="1194"/>
    <col min="3074" max="3074" width="7" style="1194" customWidth="1"/>
    <col min="3075" max="3075" width="10.7109375" style="1194" customWidth="1"/>
    <col min="3076" max="3076" width="15.7109375" style="1194" customWidth="1"/>
    <col min="3077" max="3078" width="13.42578125" style="1194" customWidth="1"/>
    <col min="3079" max="3079" width="17.85546875" style="1194" customWidth="1"/>
    <col min="3080" max="3080" width="16" style="1194" customWidth="1"/>
    <col min="3081" max="3081" width="43.42578125" style="1194" customWidth="1"/>
    <col min="3082" max="3329" width="9.140625" style="1194"/>
    <col min="3330" max="3330" width="7" style="1194" customWidth="1"/>
    <col min="3331" max="3331" width="10.7109375" style="1194" customWidth="1"/>
    <col min="3332" max="3332" width="15.7109375" style="1194" customWidth="1"/>
    <col min="3333" max="3334" width="13.42578125" style="1194" customWidth="1"/>
    <col min="3335" max="3335" width="17.85546875" style="1194" customWidth="1"/>
    <col min="3336" max="3336" width="16" style="1194" customWidth="1"/>
    <col min="3337" max="3337" width="43.42578125" style="1194" customWidth="1"/>
    <col min="3338" max="3585" width="9.140625" style="1194"/>
    <col min="3586" max="3586" width="7" style="1194" customWidth="1"/>
    <col min="3587" max="3587" width="10.7109375" style="1194" customWidth="1"/>
    <col min="3588" max="3588" width="15.7109375" style="1194" customWidth="1"/>
    <col min="3589" max="3590" width="13.42578125" style="1194" customWidth="1"/>
    <col min="3591" max="3591" width="17.85546875" style="1194" customWidth="1"/>
    <col min="3592" max="3592" width="16" style="1194" customWidth="1"/>
    <col min="3593" max="3593" width="43.42578125" style="1194" customWidth="1"/>
    <col min="3594" max="3841" width="9.140625" style="1194"/>
    <col min="3842" max="3842" width="7" style="1194" customWidth="1"/>
    <col min="3843" max="3843" width="10.7109375" style="1194" customWidth="1"/>
    <col min="3844" max="3844" width="15.7109375" style="1194" customWidth="1"/>
    <col min="3845" max="3846" width="13.42578125" style="1194" customWidth="1"/>
    <col min="3847" max="3847" width="17.85546875" style="1194" customWidth="1"/>
    <col min="3848" max="3848" width="16" style="1194" customWidth="1"/>
    <col min="3849" max="3849" width="43.42578125" style="1194" customWidth="1"/>
    <col min="3850" max="4097" width="9.140625" style="1194"/>
    <col min="4098" max="4098" width="7" style="1194" customWidth="1"/>
    <col min="4099" max="4099" width="10.7109375" style="1194" customWidth="1"/>
    <col min="4100" max="4100" width="15.7109375" style="1194" customWidth="1"/>
    <col min="4101" max="4102" width="13.42578125" style="1194" customWidth="1"/>
    <col min="4103" max="4103" width="17.85546875" style="1194" customWidth="1"/>
    <col min="4104" max="4104" width="16" style="1194" customWidth="1"/>
    <col min="4105" max="4105" width="43.42578125" style="1194" customWidth="1"/>
    <col min="4106" max="4353" width="9.140625" style="1194"/>
    <col min="4354" max="4354" width="7" style="1194" customWidth="1"/>
    <col min="4355" max="4355" width="10.7109375" style="1194" customWidth="1"/>
    <col min="4356" max="4356" width="15.7109375" style="1194" customWidth="1"/>
    <col min="4357" max="4358" width="13.42578125" style="1194" customWidth="1"/>
    <col min="4359" max="4359" width="17.85546875" style="1194" customWidth="1"/>
    <col min="4360" max="4360" width="16" style="1194" customWidth="1"/>
    <col min="4361" max="4361" width="43.42578125" style="1194" customWidth="1"/>
    <col min="4362" max="4609" width="9.140625" style="1194"/>
    <col min="4610" max="4610" width="7" style="1194" customWidth="1"/>
    <col min="4611" max="4611" width="10.7109375" style="1194" customWidth="1"/>
    <col min="4612" max="4612" width="15.7109375" style="1194" customWidth="1"/>
    <col min="4613" max="4614" width="13.42578125" style="1194" customWidth="1"/>
    <col min="4615" max="4615" width="17.85546875" style="1194" customWidth="1"/>
    <col min="4616" max="4616" width="16" style="1194" customWidth="1"/>
    <col min="4617" max="4617" width="43.42578125" style="1194" customWidth="1"/>
    <col min="4618" max="4865" width="9.140625" style="1194"/>
    <col min="4866" max="4866" width="7" style="1194" customWidth="1"/>
    <col min="4867" max="4867" width="10.7109375" style="1194" customWidth="1"/>
    <col min="4868" max="4868" width="15.7109375" style="1194" customWidth="1"/>
    <col min="4869" max="4870" width="13.42578125" style="1194" customWidth="1"/>
    <col min="4871" max="4871" width="17.85546875" style="1194" customWidth="1"/>
    <col min="4872" max="4872" width="16" style="1194" customWidth="1"/>
    <col min="4873" max="4873" width="43.42578125" style="1194" customWidth="1"/>
    <col min="4874" max="5121" width="9.140625" style="1194"/>
    <col min="5122" max="5122" width="7" style="1194" customWidth="1"/>
    <col min="5123" max="5123" width="10.7109375" style="1194" customWidth="1"/>
    <col min="5124" max="5124" width="15.7109375" style="1194" customWidth="1"/>
    <col min="5125" max="5126" width="13.42578125" style="1194" customWidth="1"/>
    <col min="5127" max="5127" width="17.85546875" style="1194" customWidth="1"/>
    <col min="5128" max="5128" width="16" style="1194" customWidth="1"/>
    <col min="5129" max="5129" width="43.42578125" style="1194" customWidth="1"/>
    <col min="5130" max="5377" width="9.140625" style="1194"/>
    <col min="5378" max="5378" width="7" style="1194" customWidth="1"/>
    <col min="5379" max="5379" width="10.7109375" style="1194" customWidth="1"/>
    <col min="5380" max="5380" width="15.7109375" style="1194" customWidth="1"/>
    <col min="5381" max="5382" width="13.42578125" style="1194" customWidth="1"/>
    <col min="5383" max="5383" width="17.85546875" style="1194" customWidth="1"/>
    <col min="5384" max="5384" width="16" style="1194" customWidth="1"/>
    <col min="5385" max="5385" width="43.42578125" style="1194" customWidth="1"/>
    <col min="5386" max="5633" width="9.140625" style="1194"/>
    <col min="5634" max="5634" width="7" style="1194" customWidth="1"/>
    <col min="5635" max="5635" width="10.7109375" style="1194" customWidth="1"/>
    <col min="5636" max="5636" width="15.7109375" style="1194" customWidth="1"/>
    <col min="5637" max="5638" width="13.42578125" style="1194" customWidth="1"/>
    <col min="5639" max="5639" width="17.85546875" style="1194" customWidth="1"/>
    <col min="5640" max="5640" width="16" style="1194" customWidth="1"/>
    <col min="5641" max="5641" width="43.42578125" style="1194" customWidth="1"/>
    <col min="5642" max="5889" width="9.140625" style="1194"/>
    <col min="5890" max="5890" width="7" style="1194" customWidth="1"/>
    <col min="5891" max="5891" width="10.7109375" style="1194" customWidth="1"/>
    <col min="5892" max="5892" width="15.7109375" style="1194" customWidth="1"/>
    <col min="5893" max="5894" width="13.42578125" style="1194" customWidth="1"/>
    <col min="5895" max="5895" width="17.85546875" style="1194" customWidth="1"/>
    <col min="5896" max="5896" width="16" style="1194" customWidth="1"/>
    <col min="5897" max="5897" width="43.42578125" style="1194" customWidth="1"/>
    <col min="5898" max="6145" width="9.140625" style="1194"/>
    <col min="6146" max="6146" width="7" style="1194" customWidth="1"/>
    <col min="6147" max="6147" width="10.7109375" style="1194" customWidth="1"/>
    <col min="6148" max="6148" width="15.7109375" style="1194" customWidth="1"/>
    <col min="6149" max="6150" width="13.42578125" style="1194" customWidth="1"/>
    <col min="6151" max="6151" width="17.85546875" style="1194" customWidth="1"/>
    <col min="6152" max="6152" width="16" style="1194" customWidth="1"/>
    <col min="6153" max="6153" width="43.42578125" style="1194" customWidth="1"/>
    <col min="6154" max="6401" width="9.140625" style="1194"/>
    <col min="6402" max="6402" width="7" style="1194" customWidth="1"/>
    <col min="6403" max="6403" width="10.7109375" style="1194" customWidth="1"/>
    <col min="6404" max="6404" width="15.7109375" style="1194" customWidth="1"/>
    <col min="6405" max="6406" width="13.42578125" style="1194" customWidth="1"/>
    <col min="6407" max="6407" width="17.85546875" style="1194" customWidth="1"/>
    <col min="6408" max="6408" width="16" style="1194" customWidth="1"/>
    <col min="6409" max="6409" width="43.42578125" style="1194" customWidth="1"/>
    <col min="6410" max="6657" width="9.140625" style="1194"/>
    <col min="6658" max="6658" width="7" style="1194" customWidth="1"/>
    <col min="6659" max="6659" width="10.7109375" style="1194" customWidth="1"/>
    <col min="6660" max="6660" width="15.7109375" style="1194" customWidth="1"/>
    <col min="6661" max="6662" width="13.42578125" style="1194" customWidth="1"/>
    <col min="6663" max="6663" width="17.85546875" style="1194" customWidth="1"/>
    <col min="6664" max="6664" width="16" style="1194" customWidth="1"/>
    <col min="6665" max="6665" width="43.42578125" style="1194" customWidth="1"/>
    <col min="6666" max="6913" width="9.140625" style="1194"/>
    <col min="6914" max="6914" width="7" style="1194" customWidth="1"/>
    <col min="6915" max="6915" width="10.7109375" style="1194" customWidth="1"/>
    <col min="6916" max="6916" width="15.7109375" style="1194" customWidth="1"/>
    <col min="6917" max="6918" width="13.42578125" style="1194" customWidth="1"/>
    <col min="6919" max="6919" width="17.85546875" style="1194" customWidth="1"/>
    <col min="6920" max="6920" width="16" style="1194" customWidth="1"/>
    <col min="6921" max="6921" width="43.42578125" style="1194" customWidth="1"/>
    <col min="6922" max="7169" width="9.140625" style="1194"/>
    <col min="7170" max="7170" width="7" style="1194" customWidth="1"/>
    <col min="7171" max="7171" width="10.7109375" style="1194" customWidth="1"/>
    <col min="7172" max="7172" width="15.7109375" style="1194" customWidth="1"/>
    <col min="7173" max="7174" width="13.42578125" style="1194" customWidth="1"/>
    <col min="7175" max="7175" width="17.85546875" style="1194" customWidth="1"/>
    <col min="7176" max="7176" width="16" style="1194" customWidth="1"/>
    <col min="7177" max="7177" width="43.42578125" style="1194" customWidth="1"/>
    <col min="7178" max="7425" width="9.140625" style="1194"/>
    <col min="7426" max="7426" width="7" style="1194" customWidth="1"/>
    <col min="7427" max="7427" width="10.7109375" style="1194" customWidth="1"/>
    <col min="7428" max="7428" width="15.7109375" style="1194" customWidth="1"/>
    <col min="7429" max="7430" width="13.42578125" style="1194" customWidth="1"/>
    <col min="7431" max="7431" width="17.85546875" style="1194" customWidth="1"/>
    <col min="7432" max="7432" width="16" style="1194" customWidth="1"/>
    <col min="7433" max="7433" width="43.42578125" style="1194" customWidth="1"/>
    <col min="7434" max="7681" width="9.140625" style="1194"/>
    <col min="7682" max="7682" width="7" style="1194" customWidth="1"/>
    <col min="7683" max="7683" width="10.7109375" style="1194" customWidth="1"/>
    <col min="7684" max="7684" width="15.7109375" style="1194" customWidth="1"/>
    <col min="7685" max="7686" width="13.42578125" style="1194" customWidth="1"/>
    <col min="7687" max="7687" width="17.85546875" style="1194" customWidth="1"/>
    <col min="7688" max="7688" width="16" style="1194" customWidth="1"/>
    <col min="7689" max="7689" width="43.42578125" style="1194" customWidth="1"/>
    <col min="7690" max="7937" width="9.140625" style="1194"/>
    <col min="7938" max="7938" width="7" style="1194" customWidth="1"/>
    <col min="7939" max="7939" width="10.7109375" style="1194" customWidth="1"/>
    <col min="7940" max="7940" width="15.7109375" style="1194" customWidth="1"/>
    <col min="7941" max="7942" width="13.42578125" style="1194" customWidth="1"/>
    <col min="7943" max="7943" width="17.85546875" style="1194" customWidth="1"/>
    <col min="7944" max="7944" width="16" style="1194" customWidth="1"/>
    <col min="7945" max="7945" width="43.42578125" style="1194" customWidth="1"/>
    <col min="7946" max="8193" width="9.140625" style="1194"/>
    <col min="8194" max="8194" width="7" style="1194" customWidth="1"/>
    <col min="8195" max="8195" width="10.7109375" style="1194" customWidth="1"/>
    <col min="8196" max="8196" width="15.7109375" style="1194" customWidth="1"/>
    <col min="8197" max="8198" width="13.42578125" style="1194" customWidth="1"/>
    <col min="8199" max="8199" width="17.85546875" style="1194" customWidth="1"/>
    <col min="8200" max="8200" width="16" style="1194" customWidth="1"/>
    <col min="8201" max="8201" width="43.42578125" style="1194" customWidth="1"/>
    <col min="8202" max="8449" width="9.140625" style="1194"/>
    <col min="8450" max="8450" width="7" style="1194" customWidth="1"/>
    <col min="8451" max="8451" width="10.7109375" style="1194" customWidth="1"/>
    <col min="8452" max="8452" width="15.7109375" style="1194" customWidth="1"/>
    <col min="8453" max="8454" width="13.42578125" style="1194" customWidth="1"/>
    <col min="8455" max="8455" width="17.85546875" style="1194" customWidth="1"/>
    <col min="8456" max="8456" width="16" style="1194" customWidth="1"/>
    <col min="8457" max="8457" width="43.42578125" style="1194" customWidth="1"/>
    <col min="8458" max="8705" width="9.140625" style="1194"/>
    <col min="8706" max="8706" width="7" style="1194" customWidth="1"/>
    <col min="8707" max="8707" width="10.7109375" style="1194" customWidth="1"/>
    <col min="8708" max="8708" width="15.7109375" style="1194" customWidth="1"/>
    <col min="8709" max="8710" width="13.42578125" style="1194" customWidth="1"/>
    <col min="8711" max="8711" width="17.85546875" style="1194" customWidth="1"/>
    <col min="8712" max="8712" width="16" style="1194" customWidth="1"/>
    <col min="8713" max="8713" width="43.42578125" style="1194" customWidth="1"/>
    <col min="8714" max="8961" width="9.140625" style="1194"/>
    <col min="8962" max="8962" width="7" style="1194" customWidth="1"/>
    <col min="8963" max="8963" width="10.7109375" style="1194" customWidth="1"/>
    <col min="8964" max="8964" width="15.7109375" style="1194" customWidth="1"/>
    <col min="8965" max="8966" width="13.42578125" style="1194" customWidth="1"/>
    <col min="8967" max="8967" width="17.85546875" style="1194" customWidth="1"/>
    <col min="8968" max="8968" width="16" style="1194" customWidth="1"/>
    <col min="8969" max="8969" width="43.42578125" style="1194" customWidth="1"/>
    <col min="8970" max="9217" width="9.140625" style="1194"/>
    <col min="9218" max="9218" width="7" style="1194" customWidth="1"/>
    <col min="9219" max="9219" width="10.7109375" style="1194" customWidth="1"/>
    <col min="9220" max="9220" width="15.7109375" style="1194" customWidth="1"/>
    <col min="9221" max="9222" width="13.42578125" style="1194" customWidth="1"/>
    <col min="9223" max="9223" width="17.85546875" style="1194" customWidth="1"/>
    <col min="9224" max="9224" width="16" style="1194" customWidth="1"/>
    <col min="9225" max="9225" width="43.42578125" style="1194" customWidth="1"/>
    <col min="9226" max="9473" width="9.140625" style="1194"/>
    <col min="9474" max="9474" width="7" style="1194" customWidth="1"/>
    <col min="9475" max="9475" width="10.7109375" style="1194" customWidth="1"/>
    <col min="9476" max="9476" width="15.7109375" style="1194" customWidth="1"/>
    <col min="9477" max="9478" width="13.42578125" style="1194" customWidth="1"/>
    <col min="9479" max="9479" width="17.85546875" style="1194" customWidth="1"/>
    <col min="9480" max="9480" width="16" style="1194" customWidth="1"/>
    <col min="9481" max="9481" width="43.42578125" style="1194" customWidth="1"/>
    <col min="9482" max="9729" width="9.140625" style="1194"/>
    <col min="9730" max="9730" width="7" style="1194" customWidth="1"/>
    <col min="9731" max="9731" width="10.7109375" style="1194" customWidth="1"/>
    <col min="9732" max="9732" width="15.7109375" style="1194" customWidth="1"/>
    <col min="9733" max="9734" width="13.42578125" style="1194" customWidth="1"/>
    <col min="9735" max="9735" width="17.85546875" style="1194" customWidth="1"/>
    <col min="9736" max="9736" width="16" style="1194" customWidth="1"/>
    <col min="9737" max="9737" width="43.42578125" style="1194" customWidth="1"/>
    <col min="9738" max="9985" width="9.140625" style="1194"/>
    <col min="9986" max="9986" width="7" style="1194" customWidth="1"/>
    <col min="9987" max="9987" width="10.7109375" style="1194" customWidth="1"/>
    <col min="9988" max="9988" width="15.7109375" style="1194" customWidth="1"/>
    <col min="9989" max="9990" width="13.42578125" style="1194" customWidth="1"/>
    <col min="9991" max="9991" width="17.85546875" style="1194" customWidth="1"/>
    <col min="9992" max="9992" width="16" style="1194" customWidth="1"/>
    <col min="9993" max="9993" width="43.42578125" style="1194" customWidth="1"/>
    <col min="9994" max="10241" width="9.140625" style="1194"/>
    <col min="10242" max="10242" width="7" style="1194" customWidth="1"/>
    <col min="10243" max="10243" width="10.7109375" style="1194" customWidth="1"/>
    <col min="10244" max="10244" width="15.7109375" style="1194" customWidth="1"/>
    <col min="10245" max="10246" width="13.42578125" style="1194" customWidth="1"/>
    <col min="10247" max="10247" width="17.85546875" style="1194" customWidth="1"/>
    <col min="10248" max="10248" width="16" style="1194" customWidth="1"/>
    <col min="10249" max="10249" width="43.42578125" style="1194" customWidth="1"/>
    <col min="10250" max="10497" width="9.140625" style="1194"/>
    <col min="10498" max="10498" width="7" style="1194" customWidth="1"/>
    <col min="10499" max="10499" width="10.7109375" style="1194" customWidth="1"/>
    <col min="10500" max="10500" width="15.7109375" style="1194" customWidth="1"/>
    <col min="10501" max="10502" width="13.42578125" style="1194" customWidth="1"/>
    <col min="10503" max="10503" width="17.85546875" style="1194" customWidth="1"/>
    <col min="10504" max="10504" width="16" style="1194" customWidth="1"/>
    <col min="10505" max="10505" width="43.42578125" style="1194" customWidth="1"/>
    <col min="10506" max="10753" width="9.140625" style="1194"/>
    <col min="10754" max="10754" width="7" style="1194" customWidth="1"/>
    <col min="10755" max="10755" width="10.7109375" style="1194" customWidth="1"/>
    <col min="10756" max="10756" width="15.7109375" style="1194" customWidth="1"/>
    <col min="10757" max="10758" width="13.42578125" style="1194" customWidth="1"/>
    <col min="10759" max="10759" width="17.85546875" style="1194" customWidth="1"/>
    <col min="10760" max="10760" width="16" style="1194" customWidth="1"/>
    <col min="10761" max="10761" width="43.42578125" style="1194" customWidth="1"/>
    <col min="10762" max="11009" width="9.140625" style="1194"/>
    <col min="11010" max="11010" width="7" style="1194" customWidth="1"/>
    <col min="11011" max="11011" width="10.7109375" style="1194" customWidth="1"/>
    <col min="11012" max="11012" width="15.7109375" style="1194" customWidth="1"/>
    <col min="11013" max="11014" width="13.42578125" style="1194" customWidth="1"/>
    <col min="11015" max="11015" width="17.85546875" style="1194" customWidth="1"/>
    <col min="11016" max="11016" width="16" style="1194" customWidth="1"/>
    <col min="11017" max="11017" width="43.42578125" style="1194" customWidth="1"/>
    <col min="11018" max="11265" width="9.140625" style="1194"/>
    <col min="11266" max="11266" width="7" style="1194" customWidth="1"/>
    <col min="11267" max="11267" width="10.7109375" style="1194" customWidth="1"/>
    <col min="11268" max="11268" width="15.7109375" style="1194" customWidth="1"/>
    <col min="11269" max="11270" width="13.42578125" style="1194" customWidth="1"/>
    <col min="11271" max="11271" width="17.85546875" style="1194" customWidth="1"/>
    <col min="11272" max="11272" width="16" style="1194" customWidth="1"/>
    <col min="11273" max="11273" width="43.42578125" style="1194" customWidth="1"/>
    <col min="11274" max="11521" width="9.140625" style="1194"/>
    <col min="11522" max="11522" width="7" style="1194" customWidth="1"/>
    <col min="11523" max="11523" width="10.7109375" style="1194" customWidth="1"/>
    <col min="11524" max="11524" width="15.7109375" style="1194" customWidth="1"/>
    <col min="11525" max="11526" width="13.42578125" style="1194" customWidth="1"/>
    <col min="11527" max="11527" width="17.85546875" style="1194" customWidth="1"/>
    <col min="11528" max="11528" width="16" style="1194" customWidth="1"/>
    <col min="11529" max="11529" width="43.42578125" style="1194" customWidth="1"/>
    <col min="11530" max="11777" width="9.140625" style="1194"/>
    <col min="11778" max="11778" width="7" style="1194" customWidth="1"/>
    <col min="11779" max="11779" width="10.7109375" style="1194" customWidth="1"/>
    <col min="11780" max="11780" width="15.7109375" style="1194" customWidth="1"/>
    <col min="11781" max="11782" width="13.42578125" style="1194" customWidth="1"/>
    <col min="11783" max="11783" width="17.85546875" style="1194" customWidth="1"/>
    <col min="11784" max="11784" width="16" style="1194" customWidth="1"/>
    <col min="11785" max="11785" width="43.42578125" style="1194" customWidth="1"/>
    <col min="11786" max="12033" width="9.140625" style="1194"/>
    <col min="12034" max="12034" width="7" style="1194" customWidth="1"/>
    <col min="12035" max="12035" width="10.7109375" style="1194" customWidth="1"/>
    <col min="12036" max="12036" width="15.7109375" style="1194" customWidth="1"/>
    <col min="12037" max="12038" width="13.42578125" style="1194" customWidth="1"/>
    <col min="12039" max="12039" width="17.85546875" style="1194" customWidth="1"/>
    <col min="12040" max="12040" width="16" style="1194" customWidth="1"/>
    <col min="12041" max="12041" width="43.42578125" style="1194" customWidth="1"/>
    <col min="12042" max="12289" width="9.140625" style="1194"/>
    <col min="12290" max="12290" width="7" style="1194" customWidth="1"/>
    <col min="12291" max="12291" width="10.7109375" style="1194" customWidth="1"/>
    <col min="12292" max="12292" width="15.7109375" style="1194" customWidth="1"/>
    <col min="12293" max="12294" width="13.42578125" style="1194" customWidth="1"/>
    <col min="12295" max="12295" width="17.85546875" style="1194" customWidth="1"/>
    <col min="12296" max="12296" width="16" style="1194" customWidth="1"/>
    <col min="12297" max="12297" width="43.42578125" style="1194" customWidth="1"/>
    <col min="12298" max="12545" width="9.140625" style="1194"/>
    <col min="12546" max="12546" width="7" style="1194" customWidth="1"/>
    <col min="12547" max="12547" width="10.7109375" style="1194" customWidth="1"/>
    <col min="12548" max="12548" width="15.7109375" style="1194" customWidth="1"/>
    <col min="12549" max="12550" width="13.42578125" style="1194" customWidth="1"/>
    <col min="12551" max="12551" width="17.85546875" style="1194" customWidth="1"/>
    <col min="12552" max="12552" width="16" style="1194" customWidth="1"/>
    <col min="12553" max="12553" width="43.42578125" style="1194" customWidth="1"/>
    <col min="12554" max="12801" width="9.140625" style="1194"/>
    <col min="12802" max="12802" width="7" style="1194" customWidth="1"/>
    <col min="12803" max="12803" width="10.7109375" style="1194" customWidth="1"/>
    <col min="12804" max="12804" width="15.7109375" style="1194" customWidth="1"/>
    <col min="12805" max="12806" width="13.42578125" style="1194" customWidth="1"/>
    <col min="12807" max="12807" width="17.85546875" style="1194" customWidth="1"/>
    <col min="12808" max="12808" width="16" style="1194" customWidth="1"/>
    <col min="12809" max="12809" width="43.42578125" style="1194" customWidth="1"/>
    <col min="12810" max="13057" width="9.140625" style="1194"/>
    <col min="13058" max="13058" width="7" style="1194" customWidth="1"/>
    <col min="13059" max="13059" width="10.7109375" style="1194" customWidth="1"/>
    <col min="13060" max="13060" width="15.7109375" style="1194" customWidth="1"/>
    <col min="13061" max="13062" width="13.42578125" style="1194" customWidth="1"/>
    <col min="13063" max="13063" width="17.85546875" style="1194" customWidth="1"/>
    <col min="13064" max="13064" width="16" style="1194" customWidth="1"/>
    <col min="13065" max="13065" width="43.42578125" style="1194" customWidth="1"/>
    <col min="13066" max="13313" width="9.140625" style="1194"/>
    <col min="13314" max="13314" width="7" style="1194" customWidth="1"/>
    <col min="13315" max="13315" width="10.7109375" style="1194" customWidth="1"/>
    <col min="13316" max="13316" width="15.7109375" style="1194" customWidth="1"/>
    <col min="13317" max="13318" width="13.42578125" style="1194" customWidth="1"/>
    <col min="13319" max="13319" width="17.85546875" style="1194" customWidth="1"/>
    <col min="13320" max="13320" width="16" style="1194" customWidth="1"/>
    <col min="13321" max="13321" width="43.42578125" style="1194" customWidth="1"/>
    <col min="13322" max="13569" width="9.140625" style="1194"/>
    <col min="13570" max="13570" width="7" style="1194" customWidth="1"/>
    <col min="13571" max="13571" width="10.7109375" style="1194" customWidth="1"/>
    <col min="13572" max="13572" width="15.7109375" style="1194" customWidth="1"/>
    <col min="13573" max="13574" width="13.42578125" style="1194" customWidth="1"/>
    <col min="13575" max="13575" width="17.85546875" style="1194" customWidth="1"/>
    <col min="13576" max="13576" width="16" style="1194" customWidth="1"/>
    <col min="13577" max="13577" width="43.42578125" style="1194" customWidth="1"/>
    <col min="13578" max="13825" width="9.140625" style="1194"/>
    <col min="13826" max="13826" width="7" style="1194" customWidth="1"/>
    <col min="13827" max="13827" width="10.7109375" style="1194" customWidth="1"/>
    <col min="13828" max="13828" width="15.7109375" style="1194" customWidth="1"/>
    <col min="13829" max="13830" width="13.42578125" style="1194" customWidth="1"/>
    <col min="13831" max="13831" width="17.85546875" style="1194" customWidth="1"/>
    <col min="13832" max="13832" width="16" style="1194" customWidth="1"/>
    <col min="13833" max="13833" width="43.42578125" style="1194" customWidth="1"/>
    <col min="13834" max="14081" width="9.140625" style="1194"/>
    <col min="14082" max="14082" width="7" style="1194" customWidth="1"/>
    <col min="14083" max="14083" width="10.7109375" style="1194" customWidth="1"/>
    <col min="14084" max="14084" width="15.7109375" style="1194" customWidth="1"/>
    <col min="14085" max="14086" width="13.42578125" style="1194" customWidth="1"/>
    <col min="14087" max="14087" width="17.85546875" style="1194" customWidth="1"/>
    <col min="14088" max="14088" width="16" style="1194" customWidth="1"/>
    <col min="14089" max="14089" width="43.42578125" style="1194" customWidth="1"/>
    <col min="14090" max="14337" width="9.140625" style="1194"/>
    <col min="14338" max="14338" width="7" style="1194" customWidth="1"/>
    <col min="14339" max="14339" width="10.7109375" style="1194" customWidth="1"/>
    <col min="14340" max="14340" width="15.7109375" style="1194" customWidth="1"/>
    <col min="14341" max="14342" width="13.42578125" style="1194" customWidth="1"/>
    <col min="14343" max="14343" width="17.85546875" style="1194" customWidth="1"/>
    <col min="14344" max="14344" width="16" style="1194" customWidth="1"/>
    <col min="14345" max="14345" width="43.42578125" style="1194" customWidth="1"/>
    <col min="14346" max="14593" width="9.140625" style="1194"/>
    <col min="14594" max="14594" width="7" style="1194" customWidth="1"/>
    <col min="14595" max="14595" width="10.7109375" style="1194" customWidth="1"/>
    <col min="14596" max="14596" width="15.7109375" style="1194" customWidth="1"/>
    <col min="14597" max="14598" width="13.42578125" style="1194" customWidth="1"/>
    <col min="14599" max="14599" width="17.85546875" style="1194" customWidth="1"/>
    <col min="14600" max="14600" width="16" style="1194" customWidth="1"/>
    <col min="14601" max="14601" width="43.42578125" style="1194" customWidth="1"/>
    <col min="14602" max="14849" width="9.140625" style="1194"/>
    <col min="14850" max="14850" width="7" style="1194" customWidth="1"/>
    <col min="14851" max="14851" width="10.7109375" style="1194" customWidth="1"/>
    <col min="14852" max="14852" width="15.7109375" style="1194" customWidth="1"/>
    <col min="14853" max="14854" width="13.42578125" style="1194" customWidth="1"/>
    <col min="14855" max="14855" width="17.85546875" style="1194" customWidth="1"/>
    <col min="14856" max="14856" width="16" style="1194" customWidth="1"/>
    <col min="14857" max="14857" width="43.42578125" style="1194" customWidth="1"/>
    <col min="14858" max="15105" width="9.140625" style="1194"/>
    <col min="15106" max="15106" width="7" style="1194" customWidth="1"/>
    <col min="15107" max="15107" width="10.7109375" style="1194" customWidth="1"/>
    <col min="15108" max="15108" width="15.7109375" style="1194" customWidth="1"/>
    <col min="15109" max="15110" width="13.42578125" style="1194" customWidth="1"/>
    <col min="15111" max="15111" width="17.85546875" style="1194" customWidth="1"/>
    <col min="15112" max="15112" width="16" style="1194" customWidth="1"/>
    <col min="15113" max="15113" width="43.42578125" style="1194" customWidth="1"/>
    <col min="15114" max="15361" width="9.140625" style="1194"/>
    <col min="15362" max="15362" width="7" style="1194" customWidth="1"/>
    <col min="15363" max="15363" width="10.7109375" style="1194" customWidth="1"/>
    <col min="15364" max="15364" width="15.7109375" style="1194" customWidth="1"/>
    <col min="15365" max="15366" width="13.42578125" style="1194" customWidth="1"/>
    <col min="15367" max="15367" width="17.85546875" style="1194" customWidth="1"/>
    <col min="15368" max="15368" width="16" style="1194" customWidth="1"/>
    <col min="15369" max="15369" width="43.42578125" style="1194" customWidth="1"/>
    <col min="15370" max="15617" width="9.140625" style="1194"/>
    <col min="15618" max="15618" width="7" style="1194" customWidth="1"/>
    <col min="15619" max="15619" width="10.7109375" style="1194" customWidth="1"/>
    <col min="15620" max="15620" width="15.7109375" style="1194" customWidth="1"/>
    <col min="15621" max="15622" width="13.42578125" style="1194" customWidth="1"/>
    <col min="15623" max="15623" width="17.85546875" style="1194" customWidth="1"/>
    <col min="15624" max="15624" width="16" style="1194" customWidth="1"/>
    <col min="15625" max="15625" width="43.42578125" style="1194" customWidth="1"/>
    <col min="15626" max="15873" width="9.140625" style="1194"/>
    <col min="15874" max="15874" width="7" style="1194" customWidth="1"/>
    <col min="15875" max="15875" width="10.7109375" style="1194" customWidth="1"/>
    <col min="15876" max="15876" width="15.7109375" style="1194" customWidth="1"/>
    <col min="15877" max="15878" width="13.42578125" style="1194" customWidth="1"/>
    <col min="15879" max="15879" width="17.85546875" style="1194" customWidth="1"/>
    <col min="15880" max="15880" width="16" style="1194" customWidth="1"/>
    <col min="15881" max="15881" width="43.42578125" style="1194" customWidth="1"/>
    <col min="15882" max="16129" width="9.140625" style="1194"/>
    <col min="16130" max="16130" width="7" style="1194" customWidth="1"/>
    <col min="16131" max="16131" width="10.7109375" style="1194" customWidth="1"/>
    <col min="16132" max="16132" width="15.7109375" style="1194" customWidth="1"/>
    <col min="16133" max="16134" width="13.42578125" style="1194" customWidth="1"/>
    <col min="16135" max="16135" width="17.85546875" style="1194" customWidth="1"/>
    <col min="16136" max="16136" width="16" style="1194" customWidth="1"/>
    <col min="16137" max="16137" width="43.42578125" style="1194" customWidth="1"/>
    <col min="16138" max="16384" width="9.140625" style="1194"/>
  </cols>
  <sheetData>
    <row r="1" spans="1:10" ht="63.75" customHeight="1">
      <c r="A1" s="1575"/>
      <c r="B1" s="1575"/>
      <c r="C1" s="1602"/>
      <c r="D1" s="1602"/>
      <c r="E1" s="1601"/>
      <c r="F1" s="1601"/>
      <c r="G1" s="1601"/>
      <c r="H1" s="4681" t="s">
        <v>1456</v>
      </c>
      <c r="I1" s="4681"/>
    </row>
    <row r="2" spans="1:10" ht="50.25" customHeight="1">
      <c r="A2" s="4832" t="s">
        <v>870</v>
      </c>
      <c r="B2" s="4832"/>
      <c r="C2" s="4832"/>
      <c r="D2" s="4832"/>
      <c r="E2" s="4832"/>
      <c r="F2" s="4832"/>
      <c r="G2" s="4832"/>
      <c r="H2" s="4832"/>
      <c r="I2" s="4832"/>
    </row>
    <row r="3" spans="1:10" ht="15.75" thickBot="1">
      <c r="A3" s="1342"/>
      <c r="B3" s="1342"/>
      <c r="C3" s="1342"/>
      <c r="D3" s="1342"/>
      <c r="E3" s="1342"/>
      <c r="F3" s="1342"/>
      <c r="G3" s="1342"/>
      <c r="H3" s="1342"/>
      <c r="I3" s="1341" t="s">
        <v>1</v>
      </c>
    </row>
    <row r="4" spans="1:10" ht="24.75" customHeight="1" thickBot="1">
      <c r="A4" s="4846" t="s">
        <v>2</v>
      </c>
      <c r="B4" s="4848" t="s">
        <v>651</v>
      </c>
      <c r="C4" s="4850" t="s">
        <v>853</v>
      </c>
      <c r="D4" s="4852" t="s">
        <v>5</v>
      </c>
      <c r="E4" s="4854" t="s">
        <v>847</v>
      </c>
      <c r="F4" s="4856" t="s">
        <v>869</v>
      </c>
      <c r="G4" s="4857"/>
      <c r="H4" s="4852" t="s">
        <v>868</v>
      </c>
      <c r="I4" s="4846" t="s">
        <v>851</v>
      </c>
    </row>
    <row r="5" spans="1:10" ht="15" customHeight="1" thickBot="1">
      <c r="A5" s="4846"/>
      <c r="B5" s="4848"/>
      <c r="C5" s="4850"/>
      <c r="D5" s="4852"/>
      <c r="E5" s="4015"/>
      <c r="F5" s="4841" t="s">
        <v>660</v>
      </c>
      <c r="G5" s="4843" t="s">
        <v>659</v>
      </c>
      <c r="H5" s="4852"/>
      <c r="I5" s="4846"/>
    </row>
    <row r="6" spans="1:10" ht="15" customHeight="1" thickBot="1">
      <c r="A6" s="4847"/>
      <c r="B6" s="4849"/>
      <c r="C6" s="4851"/>
      <c r="D6" s="4853"/>
      <c r="E6" s="4855"/>
      <c r="F6" s="4842"/>
      <c r="G6" s="4844"/>
      <c r="H6" s="4853"/>
      <c r="I6" s="4847"/>
    </row>
    <row r="7" spans="1:10" ht="32.25" customHeight="1" thickBot="1">
      <c r="A7" s="4813" t="s">
        <v>794</v>
      </c>
      <c r="B7" s="4839" t="s">
        <v>82</v>
      </c>
      <c r="C7" s="4840"/>
      <c r="D7" s="1586"/>
      <c r="E7" s="1587">
        <f>SUM(E8:E9)</f>
        <v>2060926</v>
      </c>
      <c r="F7" s="1586">
        <f>SUM(F8:F9)</f>
        <v>0</v>
      </c>
      <c r="G7" s="1600">
        <f>SUM(G8:G9)</f>
        <v>2060926</v>
      </c>
      <c r="H7" s="1599"/>
      <c r="I7" s="1598"/>
      <c r="J7" s="1214"/>
    </row>
    <row r="8" spans="1:10" ht="102" customHeight="1">
      <c r="A8" s="4818"/>
      <c r="B8" s="1597" t="s">
        <v>867</v>
      </c>
      <c r="C8" s="1596" t="s">
        <v>866</v>
      </c>
      <c r="D8" s="4845">
        <v>6300</v>
      </c>
      <c r="E8" s="1582">
        <f>SUM(F8:G8)</f>
        <v>1060926</v>
      </c>
      <c r="F8" s="1492">
        <v>0</v>
      </c>
      <c r="G8" s="1582">
        <v>1060926</v>
      </c>
      <c r="H8" s="1595" t="s">
        <v>865</v>
      </c>
      <c r="I8" s="1594" t="s">
        <v>864</v>
      </c>
    </row>
    <row r="9" spans="1:10" ht="60.75" customHeight="1" thickBot="1">
      <c r="A9" s="4814"/>
      <c r="B9" s="1593" t="s">
        <v>863</v>
      </c>
      <c r="C9" s="1592" t="s">
        <v>862</v>
      </c>
      <c r="D9" s="4812"/>
      <c r="E9" s="1591">
        <f>SUM(F9:G9)</f>
        <v>1000000</v>
      </c>
      <c r="F9" s="1590">
        <v>0</v>
      </c>
      <c r="G9" s="1589">
        <v>1000000</v>
      </c>
      <c r="H9" s="1588" t="s">
        <v>861</v>
      </c>
      <c r="I9" s="1560" t="s">
        <v>860</v>
      </c>
    </row>
    <row r="10" spans="1:10" ht="33" customHeight="1" thickBot="1">
      <c r="A10" s="4813" t="s">
        <v>859</v>
      </c>
      <c r="B10" s="4839" t="s">
        <v>147</v>
      </c>
      <c r="C10" s="4840"/>
      <c r="D10" s="1586"/>
      <c r="E10" s="1587">
        <f>SUM(E11)</f>
        <v>71500</v>
      </c>
      <c r="F10" s="1586">
        <f>SUM(F11)</f>
        <v>71500</v>
      </c>
      <c r="G10" s="1587">
        <f>SUM(G11)</f>
        <v>0</v>
      </c>
      <c r="H10" s="1586"/>
      <c r="I10" s="1585"/>
      <c r="J10" s="1195"/>
    </row>
    <row r="11" spans="1:10" ht="85.5" customHeight="1" thickBot="1">
      <c r="A11" s="4814"/>
      <c r="B11" s="1584" t="s">
        <v>858</v>
      </c>
      <c r="C11" s="1573" t="s">
        <v>857</v>
      </c>
      <c r="D11" s="1583">
        <v>2710</v>
      </c>
      <c r="E11" s="1582">
        <f>SUM(F11:G11)</f>
        <v>71500</v>
      </c>
      <c r="F11" s="1513">
        <v>71500</v>
      </c>
      <c r="G11" s="1489">
        <v>0</v>
      </c>
      <c r="H11" s="1581" t="s">
        <v>1447</v>
      </c>
      <c r="I11" s="1580" t="s">
        <v>856</v>
      </c>
      <c r="J11" s="1195"/>
    </row>
    <row r="12" spans="1:10" ht="30" customHeight="1" thickBot="1">
      <c r="A12" s="4837" t="s">
        <v>855</v>
      </c>
      <c r="B12" s="4837"/>
      <c r="C12" s="4838"/>
      <c r="D12" s="1577"/>
      <c r="E12" s="1579">
        <f>E7+E10</f>
        <v>2132426</v>
      </c>
      <c r="F12" s="1577">
        <f>F7+F10</f>
        <v>71500</v>
      </c>
      <c r="G12" s="1578">
        <f>G7+G10</f>
        <v>2060926</v>
      </c>
      <c r="H12" s="1577"/>
      <c r="I12" s="1576"/>
    </row>
    <row r="13" spans="1:10">
      <c r="A13" s="1195"/>
      <c r="B13" s="1195"/>
      <c r="C13" s="1195"/>
      <c r="D13" s="1195"/>
      <c r="E13" s="1195"/>
      <c r="F13" s="1195"/>
      <c r="G13" s="1195"/>
      <c r="H13" s="1195"/>
      <c r="I13" s="1195"/>
    </row>
    <row r="534" spans="17:17">
      <c r="Q534" s="1194">
        <f>P534-O534</f>
        <v>0</v>
      </c>
    </row>
  </sheetData>
  <sheetProtection algorithmName="SHA-512" hashValue="4EvFz4G683Fdg3frHNyVKoStQhDE04aCTZHEvfbGEvCpnxiYBJDsweCMI+w7XE6kSyg6v/YbtO7rBallykIlgA==" saltValue="Zfwj3W+VAmglfAL7WRKeZQ==" spinCount="100000" sheet="1" objects="1" scenarios="1"/>
  <mergeCells count="18"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  <mergeCell ref="A12:C12"/>
    <mergeCell ref="B10:C10"/>
    <mergeCell ref="A10:A11"/>
    <mergeCell ref="F5:F6"/>
    <mergeCell ref="G5:G6"/>
    <mergeCell ref="A7:A9"/>
    <mergeCell ref="B7:C7"/>
    <mergeCell ref="D8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2A14-5571-4EF6-99BF-9D21B501098A}">
  <sheetPr>
    <tabColor rgb="FF99FF33"/>
  </sheetPr>
  <dimension ref="A1:Q545"/>
  <sheetViews>
    <sheetView view="pageBreakPreview" topLeftCell="A16" zoomScaleNormal="100" zoomScaleSheetLayoutView="100" workbookViewId="0">
      <selection activeCell="R6" sqref="R6"/>
    </sheetView>
  </sheetViews>
  <sheetFormatPr defaultRowHeight="12.75"/>
  <cols>
    <col min="1" max="1" width="8.28515625" style="1194" customWidth="1"/>
    <col min="2" max="2" width="10.5703125" style="1194" customWidth="1"/>
    <col min="3" max="3" width="15.140625" style="1194" customWidth="1"/>
    <col min="4" max="4" width="12.28515625" style="1194" customWidth="1"/>
    <col min="5" max="6" width="12" style="1194" customWidth="1"/>
    <col min="7" max="7" width="13.85546875" style="1194" customWidth="1"/>
    <col min="8" max="8" width="21.7109375" style="1194" customWidth="1"/>
    <col min="9" max="9" width="59.5703125" style="1194" customWidth="1"/>
    <col min="10" max="257" width="9.140625" style="1194"/>
    <col min="258" max="258" width="8.28515625" style="1194" customWidth="1"/>
    <col min="259" max="259" width="10.5703125" style="1194" customWidth="1"/>
    <col min="260" max="260" width="15.140625" style="1194" customWidth="1"/>
    <col min="261" max="262" width="12" style="1194" customWidth="1"/>
    <col min="263" max="264" width="13.85546875" style="1194" customWidth="1"/>
    <col min="265" max="265" width="51.5703125" style="1194" customWidth="1"/>
    <col min="266" max="513" width="9.140625" style="1194"/>
    <col min="514" max="514" width="8.28515625" style="1194" customWidth="1"/>
    <col min="515" max="515" width="10.5703125" style="1194" customWidth="1"/>
    <col min="516" max="516" width="15.140625" style="1194" customWidth="1"/>
    <col min="517" max="518" width="12" style="1194" customWidth="1"/>
    <col min="519" max="520" width="13.85546875" style="1194" customWidth="1"/>
    <col min="521" max="521" width="51.5703125" style="1194" customWidth="1"/>
    <col min="522" max="769" width="9.140625" style="1194"/>
    <col min="770" max="770" width="8.28515625" style="1194" customWidth="1"/>
    <col min="771" max="771" width="10.5703125" style="1194" customWidth="1"/>
    <col min="772" max="772" width="15.140625" style="1194" customWidth="1"/>
    <col min="773" max="774" width="12" style="1194" customWidth="1"/>
    <col min="775" max="776" width="13.85546875" style="1194" customWidth="1"/>
    <col min="777" max="777" width="51.5703125" style="1194" customWidth="1"/>
    <col min="778" max="1025" width="9.140625" style="1194"/>
    <col min="1026" max="1026" width="8.28515625" style="1194" customWidth="1"/>
    <col min="1027" max="1027" width="10.5703125" style="1194" customWidth="1"/>
    <col min="1028" max="1028" width="15.140625" style="1194" customWidth="1"/>
    <col min="1029" max="1030" width="12" style="1194" customWidth="1"/>
    <col min="1031" max="1032" width="13.85546875" style="1194" customWidth="1"/>
    <col min="1033" max="1033" width="51.5703125" style="1194" customWidth="1"/>
    <col min="1034" max="1281" width="9.140625" style="1194"/>
    <col min="1282" max="1282" width="8.28515625" style="1194" customWidth="1"/>
    <col min="1283" max="1283" width="10.5703125" style="1194" customWidth="1"/>
    <col min="1284" max="1284" width="15.140625" style="1194" customWidth="1"/>
    <col min="1285" max="1286" width="12" style="1194" customWidth="1"/>
    <col min="1287" max="1288" width="13.85546875" style="1194" customWidth="1"/>
    <col min="1289" max="1289" width="51.5703125" style="1194" customWidth="1"/>
    <col min="1290" max="1537" width="9.140625" style="1194"/>
    <col min="1538" max="1538" width="8.28515625" style="1194" customWidth="1"/>
    <col min="1539" max="1539" width="10.5703125" style="1194" customWidth="1"/>
    <col min="1540" max="1540" width="15.140625" style="1194" customWidth="1"/>
    <col min="1541" max="1542" width="12" style="1194" customWidth="1"/>
    <col min="1543" max="1544" width="13.85546875" style="1194" customWidth="1"/>
    <col min="1545" max="1545" width="51.5703125" style="1194" customWidth="1"/>
    <col min="1546" max="1793" width="9.140625" style="1194"/>
    <col min="1794" max="1794" width="8.28515625" style="1194" customWidth="1"/>
    <col min="1795" max="1795" width="10.5703125" style="1194" customWidth="1"/>
    <col min="1796" max="1796" width="15.140625" style="1194" customWidth="1"/>
    <col min="1797" max="1798" width="12" style="1194" customWidth="1"/>
    <col min="1799" max="1800" width="13.85546875" style="1194" customWidth="1"/>
    <col min="1801" max="1801" width="51.5703125" style="1194" customWidth="1"/>
    <col min="1802" max="2049" width="9.140625" style="1194"/>
    <col min="2050" max="2050" width="8.28515625" style="1194" customWidth="1"/>
    <col min="2051" max="2051" width="10.5703125" style="1194" customWidth="1"/>
    <col min="2052" max="2052" width="15.140625" style="1194" customWidth="1"/>
    <col min="2053" max="2054" width="12" style="1194" customWidth="1"/>
    <col min="2055" max="2056" width="13.85546875" style="1194" customWidth="1"/>
    <col min="2057" max="2057" width="51.5703125" style="1194" customWidth="1"/>
    <col min="2058" max="2305" width="9.140625" style="1194"/>
    <col min="2306" max="2306" width="8.28515625" style="1194" customWidth="1"/>
    <col min="2307" max="2307" width="10.5703125" style="1194" customWidth="1"/>
    <col min="2308" max="2308" width="15.140625" style="1194" customWidth="1"/>
    <col min="2309" max="2310" width="12" style="1194" customWidth="1"/>
    <col min="2311" max="2312" width="13.85546875" style="1194" customWidth="1"/>
    <col min="2313" max="2313" width="51.5703125" style="1194" customWidth="1"/>
    <col min="2314" max="2561" width="9.140625" style="1194"/>
    <col min="2562" max="2562" width="8.28515625" style="1194" customWidth="1"/>
    <col min="2563" max="2563" width="10.5703125" style="1194" customWidth="1"/>
    <col min="2564" max="2564" width="15.140625" style="1194" customWidth="1"/>
    <col min="2565" max="2566" width="12" style="1194" customWidth="1"/>
    <col min="2567" max="2568" width="13.85546875" style="1194" customWidth="1"/>
    <col min="2569" max="2569" width="51.5703125" style="1194" customWidth="1"/>
    <col min="2570" max="2817" width="9.140625" style="1194"/>
    <col min="2818" max="2818" width="8.28515625" style="1194" customWidth="1"/>
    <col min="2819" max="2819" width="10.5703125" style="1194" customWidth="1"/>
    <col min="2820" max="2820" width="15.140625" style="1194" customWidth="1"/>
    <col min="2821" max="2822" width="12" style="1194" customWidth="1"/>
    <col min="2823" max="2824" width="13.85546875" style="1194" customWidth="1"/>
    <col min="2825" max="2825" width="51.5703125" style="1194" customWidth="1"/>
    <col min="2826" max="3073" width="9.140625" style="1194"/>
    <col min="3074" max="3074" width="8.28515625" style="1194" customWidth="1"/>
    <col min="3075" max="3075" width="10.5703125" style="1194" customWidth="1"/>
    <col min="3076" max="3076" width="15.140625" style="1194" customWidth="1"/>
    <col min="3077" max="3078" width="12" style="1194" customWidth="1"/>
    <col min="3079" max="3080" width="13.85546875" style="1194" customWidth="1"/>
    <col min="3081" max="3081" width="51.5703125" style="1194" customWidth="1"/>
    <col min="3082" max="3329" width="9.140625" style="1194"/>
    <col min="3330" max="3330" width="8.28515625" style="1194" customWidth="1"/>
    <col min="3331" max="3331" width="10.5703125" style="1194" customWidth="1"/>
    <col min="3332" max="3332" width="15.140625" style="1194" customWidth="1"/>
    <col min="3333" max="3334" width="12" style="1194" customWidth="1"/>
    <col min="3335" max="3336" width="13.85546875" style="1194" customWidth="1"/>
    <col min="3337" max="3337" width="51.5703125" style="1194" customWidth="1"/>
    <col min="3338" max="3585" width="9.140625" style="1194"/>
    <col min="3586" max="3586" width="8.28515625" style="1194" customWidth="1"/>
    <col min="3587" max="3587" width="10.5703125" style="1194" customWidth="1"/>
    <col min="3588" max="3588" width="15.140625" style="1194" customWidth="1"/>
    <col min="3589" max="3590" width="12" style="1194" customWidth="1"/>
    <col min="3591" max="3592" width="13.85546875" style="1194" customWidth="1"/>
    <col min="3593" max="3593" width="51.5703125" style="1194" customWidth="1"/>
    <col min="3594" max="3841" width="9.140625" style="1194"/>
    <col min="3842" max="3842" width="8.28515625" style="1194" customWidth="1"/>
    <col min="3843" max="3843" width="10.5703125" style="1194" customWidth="1"/>
    <col min="3844" max="3844" width="15.140625" style="1194" customWidth="1"/>
    <col min="3845" max="3846" width="12" style="1194" customWidth="1"/>
    <col min="3847" max="3848" width="13.85546875" style="1194" customWidth="1"/>
    <col min="3849" max="3849" width="51.5703125" style="1194" customWidth="1"/>
    <col min="3850" max="4097" width="9.140625" style="1194"/>
    <col min="4098" max="4098" width="8.28515625" style="1194" customWidth="1"/>
    <col min="4099" max="4099" width="10.5703125" style="1194" customWidth="1"/>
    <col min="4100" max="4100" width="15.140625" style="1194" customWidth="1"/>
    <col min="4101" max="4102" width="12" style="1194" customWidth="1"/>
    <col min="4103" max="4104" width="13.85546875" style="1194" customWidth="1"/>
    <col min="4105" max="4105" width="51.5703125" style="1194" customWidth="1"/>
    <col min="4106" max="4353" width="9.140625" style="1194"/>
    <col min="4354" max="4354" width="8.28515625" style="1194" customWidth="1"/>
    <col min="4355" max="4355" width="10.5703125" style="1194" customWidth="1"/>
    <col min="4356" max="4356" width="15.140625" style="1194" customWidth="1"/>
    <col min="4357" max="4358" width="12" style="1194" customWidth="1"/>
    <col min="4359" max="4360" width="13.85546875" style="1194" customWidth="1"/>
    <col min="4361" max="4361" width="51.5703125" style="1194" customWidth="1"/>
    <col min="4362" max="4609" width="9.140625" style="1194"/>
    <col min="4610" max="4610" width="8.28515625" style="1194" customWidth="1"/>
    <col min="4611" max="4611" width="10.5703125" style="1194" customWidth="1"/>
    <col min="4612" max="4612" width="15.140625" style="1194" customWidth="1"/>
    <col min="4613" max="4614" width="12" style="1194" customWidth="1"/>
    <col min="4615" max="4616" width="13.85546875" style="1194" customWidth="1"/>
    <col min="4617" max="4617" width="51.5703125" style="1194" customWidth="1"/>
    <col min="4618" max="4865" width="9.140625" style="1194"/>
    <col min="4866" max="4866" width="8.28515625" style="1194" customWidth="1"/>
    <col min="4867" max="4867" width="10.5703125" style="1194" customWidth="1"/>
    <col min="4868" max="4868" width="15.140625" style="1194" customWidth="1"/>
    <col min="4869" max="4870" width="12" style="1194" customWidth="1"/>
    <col min="4871" max="4872" width="13.85546875" style="1194" customWidth="1"/>
    <col min="4873" max="4873" width="51.5703125" style="1194" customWidth="1"/>
    <col min="4874" max="5121" width="9.140625" style="1194"/>
    <col min="5122" max="5122" width="8.28515625" style="1194" customWidth="1"/>
    <col min="5123" max="5123" width="10.5703125" style="1194" customWidth="1"/>
    <col min="5124" max="5124" width="15.140625" style="1194" customWidth="1"/>
    <col min="5125" max="5126" width="12" style="1194" customWidth="1"/>
    <col min="5127" max="5128" width="13.85546875" style="1194" customWidth="1"/>
    <col min="5129" max="5129" width="51.5703125" style="1194" customWidth="1"/>
    <col min="5130" max="5377" width="9.140625" style="1194"/>
    <col min="5378" max="5378" width="8.28515625" style="1194" customWidth="1"/>
    <col min="5379" max="5379" width="10.5703125" style="1194" customWidth="1"/>
    <col min="5380" max="5380" width="15.140625" style="1194" customWidth="1"/>
    <col min="5381" max="5382" width="12" style="1194" customWidth="1"/>
    <col min="5383" max="5384" width="13.85546875" style="1194" customWidth="1"/>
    <col min="5385" max="5385" width="51.5703125" style="1194" customWidth="1"/>
    <col min="5386" max="5633" width="9.140625" style="1194"/>
    <col min="5634" max="5634" width="8.28515625" style="1194" customWidth="1"/>
    <col min="5635" max="5635" width="10.5703125" style="1194" customWidth="1"/>
    <col min="5636" max="5636" width="15.140625" style="1194" customWidth="1"/>
    <col min="5637" max="5638" width="12" style="1194" customWidth="1"/>
    <col min="5639" max="5640" width="13.85546875" style="1194" customWidth="1"/>
    <col min="5641" max="5641" width="51.5703125" style="1194" customWidth="1"/>
    <col min="5642" max="5889" width="9.140625" style="1194"/>
    <col min="5890" max="5890" width="8.28515625" style="1194" customWidth="1"/>
    <col min="5891" max="5891" width="10.5703125" style="1194" customWidth="1"/>
    <col min="5892" max="5892" width="15.140625" style="1194" customWidth="1"/>
    <col min="5893" max="5894" width="12" style="1194" customWidth="1"/>
    <col min="5895" max="5896" width="13.85546875" style="1194" customWidth="1"/>
    <col min="5897" max="5897" width="51.5703125" style="1194" customWidth="1"/>
    <col min="5898" max="6145" width="9.140625" style="1194"/>
    <col min="6146" max="6146" width="8.28515625" style="1194" customWidth="1"/>
    <col min="6147" max="6147" width="10.5703125" style="1194" customWidth="1"/>
    <col min="6148" max="6148" width="15.140625" style="1194" customWidth="1"/>
    <col min="6149" max="6150" width="12" style="1194" customWidth="1"/>
    <col min="6151" max="6152" width="13.85546875" style="1194" customWidth="1"/>
    <col min="6153" max="6153" width="51.5703125" style="1194" customWidth="1"/>
    <col min="6154" max="6401" width="9.140625" style="1194"/>
    <col min="6402" max="6402" width="8.28515625" style="1194" customWidth="1"/>
    <col min="6403" max="6403" width="10.5703125" style="1194" customWidth="1"/>
    <col min="6404" max="6404" width="15.140625" style="1194" customWidth="1"/>
    <col min="6405" max="6406" width="12" style="1194" customWidth="1"/>
    <col min="6407" max="6408" width="13.85546875" style="1194" customWidth="1"/>
    <col min="6409" max="6409" width="51.5703125" style="1194" customWidth="1"/>
    <col min="6410" max="6657" width="9.140625" style="1194"/>
    <col min="6658" max="6658" width="8.28515625" style="1194" customWidth="1"/>
    <col min="6659" max="6659" width="10.5703125" style="1194" customWidth="1"/>
    <col min="6660" max="6660" width="15.140625" style="1194" customWidth="1"/>
    <col min="6661" max="6662" width="12" style="1194" customWidth="1"/>
    <col min="6663" max="6664" width="13.85546875" style="1194" customWidth="1"/>
    <col min="6665" max="6665" width="51.5703125" style="1194" customWidth="1"/>
    <col min="6666" max="6913" width="9.140625" style="1194"/>
    <col min="6914" max="6914" width="8.28515625" style="1194" customWidth="1"/>
    <col min="6915" max="6915" width="10.5703125" style="1194" customWidth="1"/>
    <col min="6916" max="6916" width="15.140625" style="1194" customWidth="1"/>
    <col min="6917" max="6918" width="12" style="1194" customWidth="1"/>
    <col min="6919" max="6920" width="13.85546875" style="1194" customWidth="1"/>
    <col min="6921" max="6921" width="51.5703125" style="1194" customWidth="1"/>
    <col min="6922" max="7169" width="9.140625" style="1194"/>
    <col min="7170" max="7170" width="8.28515625" style="1194" customWidth="1"/>
    <col min="7171" max="7171" width="10.5703125" style="1194" customWidth="1"/>
    <col min="7172" max="7172" width="15.140625" style="1194" customWidth="1"/>
    <col min="7173" max="7174" width="12" style="1194" customWidth="1"/>
    <col min="7175" max="7176" width="13.85546875" style="1194" customWidth="1"/>
    <col min="7177" max="7177" width="51.5703125" style="1194" customWidth="1"/>
    <col min="7178" max="7425" width="9.140625" style="1194"/>
    <col min="7426" max="7426" width="8.28515625" style="1194" customWidth="1"/>
    <col min="7427" max="7427" width="10.5703125" style="1194" customWidth="1"/>
    <col min="7428" max="7428" width="15.140625" style="1194" customWidth="1"/>
    <col min="7429" max="7430" width="12" style="1194" customWidth="1"/>
    <col min="7431" max="7432" width="13.85546875" style="1194" customWidth="1"/>
    <col min="7433" max="7433" width="51.5703125" style="1194" customWidth="1"/>
    <col min="7434" max="7681" width="9.140625" style="1194"/>
    <col min="7682" max="7682" width="8.28515625" style="1194" customWidth="1"/>
    <col min="7683" max="7683" width="10.5703125" style="1194" customWidth="1"/>
    <col min="7684" max="7684" width="15.140625" style="1194" customWidth="1"/>
    <col min="7685" max="7686" width="12" style="1194" customWidth="1"/>
    <col min="7687" max="7688" width="13.85546875" style="1194" customWidth="1"/>
    <col min="7689" max="7689" width="51.5703125" style="1194" customWidth="1"/>
    <col min="7690" max="7937" width="9.140625" style="1194"/>
    <col min="7938" max="7938" width="8.28515625" style="1194" customWidth="1"/>
    <col min="7939" max="7939" width="10.5703125" style="1194" customWidth="1"/>
    <col min="7940" max="7940" width="15.140625" style="1194" customWidth="1"/>
    <col min="7941" max="7942" width="12" style="1194" customWidth="1"/>
    <col min="7943" max="7944" width="13.85546875" style="1194" customWidth="1"/>
    <col min="7945" max="7945" width="51.5703125" style="1194" customWidth="1"/>
    <col min="7946" max="8193" width="9.140625" style="1194"/>
    <col min="8194" max="8194" width="8.28515625" style="1194" customWidth="1"/>
    <col min="8195" max="8195" width="10.5703125" style="1194" customWidth="1"/>
    <col min="8196" max="8196" width="15.140625" style="1194" customWidth="1"/>
    <col min="8197" max="8198" width="12" style="1194" customWidth="1"/>
    <col min="8199" max="8200" width="13.85546875" style="1194" customWidth="1"/>
    <col min="8201" max="8201" width="51.5703125" style="1194" customWidth="1"/>
    <col min="8202" max="8449" width="9.140625" style="1194"/>
    <col min="8450" max="8450" width="8.28515625" style="1194" customWidth="1"/>
    <col min="8451" max="8451" width="10.5703125" style="1194" customWidth="1"/>
    <col min="8452" max="8452" width="15.140625" style="1194" customWidth="1"/>
    <col min="8453" max="8454" width="12" style="1194" customWidth="1"/>
    <col min="8455" max="8456" width="13.85546875" style="1194" customWidth="1"/>
    <col min="8457" max="8457" width="51.5703125" style="1194" customWidth="1"/>
    <col min="8458" max="8705" width="9.140625" style="1194"/>
    <col min="8706" max="8706" width="8.28515625" style="1194" customWidth="1"/>
    <col min="8707" max="8707" width="10.5703125" style="1194" customWidth="1"/>
    <col min="8708" max="8708" width="15.140625" style="1194" customWidth="1"/>
    <col min="8709" max="8710" width="12" style="1194" customWidth="1"/>
    <col min="8711" max="8712" width="13.85546875" style="1194" customWidth="1"/>
    <col min="8713" max="8713" width="51.5703125" style="1194" customWidth="1"/>
    <col min="8714" max="8961" width="9.140625" style="1194"/>
    <col min="8962" max="8962" width="8.28515625" style="1194" customWidth="1"/>
    <col min="8963" max="8963" width="10.5703125" style="1194" customWidth="1"/>
    <col min="8964" max="8964" width="15.140625" style="1194" customWidth="1"/>
    <col min="8965" max="8966" width="12" style="1194" customWidth="1"/>
    <col min="8967" max="8968" width="13.85546875" style="1194" customWidth="1"/>
    <col min="8969" max="8969" width="51.5703125" style="1194" customWidth="1"/>
    <col min="8970" max="9217" width="9.140625" style="1194"/>
    <col min="9218" max="9218" width="8.28515625" style="1194" customWidth="1"/>
    <col min="9219" max="9219" width="10.5703125" style="1194" customWidth="1"/>
    <col min="9220" max="9220" width="15.140625" style="1194" customWidth="1"/>
    <col min="9221" max="9222" width="12" style="1194" customWidth="1"/>
    <col min="9223" max="9224" width="13.85546875" style="1194" customWidth="1"/>
    <col min="9225" max="9225" width="51.5703125" style="1194" customWidth="1"/>
    <col min="9226" max="9473" width="9.140625" style="1194"/>
    <col min="9474" max="9474" width="8.28515625" style="1194" customWidth="1"/>
    <col min="9475" max="9475" width="10.5703125" style="1194" customWidth="1"/>
    <col min="9476" max="9476" width="15.140625" style="1194" customWidth="1"/>
    <col min="9477" max="9478" width="12" style="1194" customWidth="1"/>
    <col min="9479" max="9480" width="13.85546875" style="1194" customWidth="1"/>
    <col min="9481" max="9481" width="51.5703125" style="1194" customWidth="1"/>
    <col min="9482" max="9729" width="9.140625" style="1194"/>
    <col min="9730" max="9730" width="8.28515625" style="1194" customWidth="1"/>
    <col min="9731" max="9731" width="10.5703125" style="1194" customWidth="1"/>
    <col min="9732" max="9732" width="15.140625" style="1194" customWidth="1"/>
    <col min="9733" max="9734" width="12" style="1194" customWidth="1"/>
    <col min="9735" max="9736" width="13.85546875" style="1194" customWidth="1"/>
    <col min="9737" max="9737" width="51.5703125" style="1194" customWidth="1"/>
    <col min="9738" max="9985" width="9.140625" style="1194"/>
    <col min="9986" max="9986" width="8.28515625" style="1194" customWidth="1"/>
    <col min="9987" max="9987" width="10.5703125" style="1194" customWidth="1"/>
    <col min="9988" max="9988" width="15.140625" style="1194" customWidth="1"/>
    <col min="9989" max="9990" width="12" style="1194" customWidth="1"/>
    <col min="9991" max="9992" width="13.85546875" style="1194" customWidth="1"/>
    <col min="9993" max="9993" width="51.5703125" style="1194" customWidth="1"/>
    <col min="9994" max="10241" width="9.140625" style="1194"/>
    <col min="10242" max="10242" width="8.28515625" style="1194" customWidth="1"/>
    <col min="10243" max="10243" width="10.5703125" style="1194" customWidth="1"/>
    <col min="10244" max="10244" width="15.140625" style="1194" customWidth="1"/>
    <col min="10245" max="10246" width="12" style="1194" customWidth="1"/>
    <col min="10247" max="10248" width="13.85546875" style="1194" customWidth="1"/>
    <col min="10249" max="10249" width="51.5703125" style="1194" customWidth="1"/>
    <col min="10250" max="10497" width="9.140625" style="1194"/>
    <col min="10498" max="10498" width="8.28515625" style="1194" customWidth="1"/>
    <col min="10499" max="10499" width="10.5703125" style="1194" customWidth="1"/>
    <col min="10500" max="10500" width="15.140625" style="1194" customWidth="1"/>
    <col min="10501" max="10502" width="12" style="1194" customWidth="1"/>
    <col min="10503" max="10504" width="13.85546875" style="1194" customWidth="1"/>
    <col min="10505" max="10505" width="51.5703125" style="1194" customWidth="1"/>
    <col min="10506" max="10753" width="9.140625" style="1194"/>
    <col min="10754" max="10754" width="8.28515625" style="1194" customWidth="1"/>
    <col min="10755" max="10755" width="10.5703125" style="1194" customWidth="1"/>
    <col min="10756" max="10756" width="15.140625" style="1194" customWidth="1"/>
    <col min="10757" max="10758" width="12" style="1194" customWidth="1"/>
    <col min="10759" max="10760" width="13.85546875" style="1194" customWidth="1"/>
    <col min="10761" max="10761" width="51.5703125" style="1194" customWidth="1"/>
    <col min="10762" max="11009" width="9.140625" style="1194"/>
    <col min="11010" max="11010" width="8.28515625" style="1194" customWidth="1"/>
    <col min="11011" max="11011" width="10.5703125" style="1194" customWidth="1"/>
    <col min="11012" max="11012" width="15.140625" style="1194" customWidth="1"/>
    <col min="11013" max="11014" width="12" style="1194" customWidth="1"/>
    <col min="11015" max="11016" width="13.85546875" style="1194" customWidth="1"/>
    <col min="11017" max="11017" width="51.5703125" style="1194" customWidth="1"/>
    <col min="11018" max="11265" width="9.140625" style="1194"/>
    <col min="11266" max="11266" width="8.28515625" style="1194" customWidth="1"/>
    <col min="11267" max="11267" width="10.5703125" style="1194" customWidth="1"/>
    <col min="11268" max="11268" width="15.140625" style="1194" customWidth="1"/>
    <col min="11269" max="11270" width="12" style="1194" customWidth="1"/>
    <col min="11271" max="11272" width="13.85546875" style="1194" customWidth="1"/>
    <col min="11273" max="11273" width="51.5703125" style="1194" customWidth="1"/>
    <col min="11274" max="11521" width="9.140625" style="1194"/>
    <col min="11522" max="11522" width="8.28515625" style="1194" customWidth="1"/>
    <col min="11523" max="11523" width="10.5703125" style="1194" customWidth="1"/>
    <col min="11524" max="11524" width="15.140625" style="1194" customWidth="1"/>
    <col min="11525" max="11526" width="12" style="1194" customWidth="1"/>
    <col min="11527" max="11528" width="13.85546875" style="1194" customWidth="1"/>
    <col min="11529" max="11529" width="51.5703125" style="1194" customWidth="1"/>
    <col min="11530" max="11777" width="9.140625" style="1194"/>
    <col min="11778" max="11778" width="8.28515625" style="1194" customWidth="1"/>
    <col min="11779" max="11779" width="10.5703125" style="1194" customWidth="1"/>
    <col min="11780" max="11780" width="15.140625" style="1194" customWidth="1"/>
    <col min="11781" max="11782" width="12" style="1194" customWidth="1"/>
    <col min="11783" max="11784" width="13.85546875" style="1194" customWidth="1"/>
    <col min="11785" max="11785" width="51.5703125" style="1194" customWidth="1"/>
    <col min="11786" max="12033" width="9.140625" style="1194"/>
    <col min="12034" max="12034" width="8.28515625" style="1194" customWidth="1"/>
    <col min="12035" max="12035" width="10.5703125" style="1194" customWidth="1"/>
    <col min="12036" max="12036" width="15.140625" style="1194" customWidth="1"/>
    <col min="12037" max="12038" width="12" style="1194" customWidth="1"/>
    <col min="12039" max="12040" width="13.85546875" style="1194" customWidth="1"/>
    <col min="12041" max="12041" width="51.5703125" style="1194" customWidth="1"/>
    <col min="12042" max="12289" width="9.140625" style="1194"/>
    <col min="12290" max="12290" width="8.28515625" style="1194" customWidth="1"/>
    <col min="12291" max="12291" width="10.5703125" style="1194" customWidth="1"/>
    <col min="12292" max="12292" width="15.140625" style="1194" customWidth="1"/>
    <col min="12293" max="12294" width="12" style="1194" customWidth="1"/>
    <col min="12295" max="12296" width="13.85546875" style="1194" customWidth="1"/>
    <col min="12297" max="12297" width="51.5703125" style="1194" customWidth="1"/>
    <col min="12298" max="12545" width="9.140625" style="1194"/>
    <col min="12546" max="12546" width="8.28515625" style="1194" customWidth="1"/>
    <col min="12547" max="12547" width="10.5703125" style="1194" customWidth="1"/>
    <col min="12548" max="12548" width="15.140625" style="1194" customWidth="1"/>
    <col min="12549" max="12550" width="12" style="1194" customWidth="1"/>
    <col min="12551" max="12552" width="13.85546875" style="1194" customWidth="1"/>
    <col min="12553" max="12553" width="51.5703125" style="1194" customWidth="1"/>
    <col min="12554" max="12801" width="9.140625" style="1194"/>
    <col min="12802" max="12802" width="8.28515625" style="1194" customWidth="1"/>
    <col min="12803" max="12803" width="10.5703125" style="1194" customWidth="1"/>
    <col min="12804" max="12804" width="15.140625" style="1194" customWidth="1"/>
    <col min="12805" max="12806" width="12" style="1194" customWidth="1"/>
    <col min="12807" max="12808" width="13.85546875" style="1194" customWidth="1"/>
    <col min="12809" max="12809" width="51.5703125" style="1194" customWidth="1"/>
    <col min="12810" max="13057" width="9.140625" style="1194"/>
    <col min="13058" max="13058" width="8.28515625" style="1194" customWidth="1"/>
    <col min="13059" max="13059" width="10.5703125" style="1194" customWidth="1"/>
    <col min="13060" max="13060" width="15.140625" style="1194" customWidth="1"/>
    <col min="13061" max="13062" width="12" style="1194" customWidth="1"/>
    <col min="13063" max="13064" width="13.85546875" style="1194" customWidth="1"/>
    <col min="13065" max="13065" width="51.5703125" style="1194" customWidth="1"/>
    <col min="13066" max="13313" width="9.140625" style="1194"/>
    <col min="13314" max="13314" width="8.28515625" style="1194" customWidth="1"/>
    <col min="13315" max="13315" width="10.5703125" style="1194" customWidth="1"/>
    <col min="13316" max="13316" width="15.140625" style="1194" customWidth="1"/>
    <col min="13317" max="13318" width="12" style="1194" customWidth="1"/>
    <col min="13319" max="13320" width="13.85546875" style="1194" customWidth="1"/>
    <col min="13321" max="13321" width="51.5703125" style="1194" customWidth="1"/>
    <col min="13322" max="13569" width="9.140625" style="1194"/>
    <col min="13570" max="13570" width="8.28515625" style="1194" customWidth="1"/>
    <col min="13571" max="13571" width="10.5703125" style="1194" customWidth="1"/>
    <col min="13572" max="13572" width="15.140625" style="1194" customWidth="1"/>
    <col min="13573" max="13574" width="12" style="1194" customWidth="1"/>
    <col min="13575" max="13576" width="13.85546875" style="1194" customWidth="1"/>
    <col min="13577" max="13577" width="51.5703125" style="1194" customWidth="1"/>
    <col min="13578" max="13825" width="9.140625" style="1194"/>
    <col min="13826" max="13826" width="8.28515625" style="1194" customWidth="1"/>
    <col min="13827" max="13827" width="10.5703125" style="1194" customWidth="1"/>
    <col min="13828" max="13828" width="15.140625" style="1194" customWidth="1"/>
    <col min="13829" max="13830" width="12" style="1194" customWidth="1"/>
    <col min="13831" max="13832" width="13.85546875" style="1194" customWidth="1"/>
    <col min="13833" max="13833" width="51.5703125" style="1194" customWidth="1"/>
    <col min="13834" max="14081" width="9.140625" style="1194"/>
    <col min="14082" max="14082" width="8.28515625" style="1194" customWidth="1"/>
    <col min="14083" max="14083" width="10.5703125" style="1194" customWidth="1"/>
    <col min="14084" max="14084" width="15.140625" style="1194" customWidth="1"/>
    <col min="14085" max="14086" width="12" style="1194" customWidth="1"/>
    <col min="14087" max="14088" width="13.85546875" style="1194" customWidth="1"/>
    <col min="14089" max="14089" width="51.5703125" style="1194" customWidth="1"/>
    <col min="14090" max="14337" width="9.140625" style="1194"/>
    <col min="14338" max="14338" width="8.28515625" style="1194" customWidth="1"/>
    <col min="14339" max="14339" width="10.5703125" style="1194" customWidth="1"/>
    <col min="14340" max="14340" width="15.140625" style="1194" customWidth="1"/>
    <col min="14341" max="14342" width="12" style="1194" customWidth="1"/>
    <col min="14343" max="14344" width="13.85546875" style="1194" customWidth="1"/>
    <col min="14345" max="14345" width="51.5703125" style="1194" customWidth="1"/>
    <col min="14346" max="14593" width="9.140625" style="1194"/>
    <col min="14594" max="14594" width="8.28515625" style="1194" customWidth="1"/>
    <col min="14595" max="14595" width="10.5703125" style="1194" customWidth="1"/>
    <col min="14596" max="14596" width="15.140625" style="1194" customWidth="1"/>
    <col min="14597" max="14598" width="12" style="1194" customWidth="1"/>
    <col min="14599" max="14600" width="13.85546875" style="1194" customWidth="1"/>
    <col min="14601" max="14601" width="51.5703125" style="1194" customWidth="1"/>
    <col min="14602" max="14849" width="9.140625" style="1194"/>
    <col min="14850" max="14850" width="8.28515625" style="1194" customWidth="1"/>
    <col min="14851" max="14851" width="10.5703125" style="1194" customWidth="1"/>
    <col min="14852" max="14852" width="15.140625" style="1194" customWidth="1"/>
    <col min="14853" max="14854" width="12" style="1194" customWidth="1"/>
    <col min="14855" max="14856" width="13.85546875" style="1194" customWidth="1"/>
    <col min="14857" max="14857" width="51.5703125" style="1194" customWidth="1"/>
    <col min="14858" max="15105" width="9.140625" style="1194"/>
    <col min="15106" max="15106" width="8.28515625" style="1194" customWidth="1"/>
    <col min="15107" max="15107" width="10.5703125" style="1194" customWidth="1"/>
    <col min="15108" max="15108" width="15.140625" style="1194" customWidth="1"/>
    <col min="15109" max="15110" width="12" style="1194" customWidth="1"/>
    <col min="15111" max="15112" width="13.85546875" style="1194" customWidth="1"/>
    <col min="15113" max="15113" width="51.5703125" style="1194" customWidth="1"/>
    <col min="15114" max="15361" width="9.140625" style="1194"/>
    <col min="15362" max="15362" width="8.28515625" style="1194" customWidth="1"/>
    <col min="15363" max="15363" width="10.5703125" style="1194" customWidth="1"/>
    <col min="15364" max="15364" width="15.140625" style="1194" customWidth="1"/>
    <col min="15365" max="15366" width="12" style="1194" customWidth="1"/>
    <col min="15367" max="15368" width="13.85546875" style="1194" customWidth="1"/>
    <col min="15369" max="15369" width="51.5703125" style="1194" customWidth="1"/>
    <col min="15370" max="15617" width="9.140625" style="1194"/>
    <col min="15618" max="15618" width="8.28515625" style="1194" customWidth="1"/>
    <col min="15619" max="15619" width="10.5703125" style="1194" customWidth="1"/>
    <col min="15620" max="15620" width="15.140625" style="1194" customWidth="1"/>
    <col min="15621" max="15622" width="12" style="1194" customWidth="1"/>
    <col min="15623" max="15624" width="13.85546875" style="1194" customWidth="1"/>
    <col min="15625" max="15625" width="51.5703125" style="1194" customWidth="1"/>
    <col min="15626" max="15873" width="9.140625" style="1194"/>
    <col min="15874" max="15874" width="8.28515625" style="1194" customWidth="1"/>
    <col min="15875" max="15875" width="10.5703125" style="1194" customWidth="1"/>
    <col min="15876" max="15876" width="15.140625" style="1194" customWidth="1"/>
    <col min="15877" max="15878" width="12" style="1194" customWidth="1"/>
    <col min="15879" max="15880" width="13.85546875" style="1194" customWidth="1"/>
    <col min="15881" max="15881" width="51.5703125" style="1194" customWidth="1"/>
    <col min="15882" max="16129" width="9.140625" style="1194"/>
    <col min="16130" max="16130" width="8.28515625" style="1194" customWidth="1"/>
    <col min="16131" max="16131" width="10.5703125" style="1194" customWidth="1"/>
    <col min="16132" max="16132" width="15.140625" style="1194" customWidth="1"/>
    <col min="16133" max="16134" width="12" style="1194" customWidth="1"/>
    <col min="16135" max="16136" width="13.85546875" style="1194" customWidth="1"/>
    <col min="16137" max="16137" width="51.5703125" style="1194" customWidth="1"/>
    <col min="16138" max="16384" width="9.140625" style="1194"/>
  </cols>
  <sheetData>
    <row r="1" spans="1:9" ht="56.25" customHeight="1">
      <c r="A1" s="1575"/>
      <c r="B1" s="1575"/>
      <c r="C1" s="1602" t="s">
        <v>886</v>
      </c>
      <c r="D1" s="1602"/>
      <c r="E1" s="1601"/>
      <c r="F1" s="1601"/>
      <c r="G1" s="1601"/>
      <c r="H1" s="4736" t="s">
        <v>1457</v>
      </c>
      <c r="I1" s="4736"/>
    </row>
    <row r="2" spans="1:9" ht="39" customHeight="1">
      <c r="A2" s="4832" t="s">
        <v>885</v>
      </c>
      <c r="B2" s="4832"/>
      <c r="C2" s="4832"/>
      <c r="D2" s="4832"/>
      <c r="E2" s="4832"/>
      <c r="F2" s="4832"/>
      <c r="G2" s="4832"/>
      <c r="H2" s="4832"/>
      <c r="I2" s="4832"/>
    </row>
    <row r="3" spans="1:9" ht="15.75" thickBot="1">
      <c r="A3" s="1342"/>
      <c r="B3" s="1342"/>
      <c r="C3" s="1342"/>
      <c r="D3" s="1342"/>
      <c r="E3" s="1342"/>
      <c r="F3" s="1342"/>
      <c r="G3" s="1342"/>
      <c r="H3" s="1342"/>
      <c r="I3" s="1341" t="s">
        <v>1</v>
      </c>
    </row>
    <row r="4" spans="1:9" ht="15.75" thickBot="1">
      <c r="A4" s="4846" t="s">
        <v>2</v>
      </c>
      <c r="B4" s="4846" t="s">
        <v>651</v>
      </c>
      <c r="C4" s="4850" t="s">
        <v>853</v>
      </c>
      <c r="D4" s="4847" t="s">
        <v>5</v>
      </c>
      <c r="E4" s="4852" t="s">
        <v>655</v>
      </c>
      <c r="F4" s="4854" t="s">
        <v>869</v>
      </c>
      <c r="G4" s="4014"/>
      <c r="H4" s="4852" t="s">
        <v>868</v>
      </c>
      <c r="I4" s="4848" t="s">
        <v>851</v>
      </c>
    </row>
    <row r="5" spans="1:9" ht="15.75" customHeight="1" thickBot="1">
      <c r="A5" s="4846"/>
      <c r="B5" s="4846"/>
      <c r="C5" s="4850"/>
      <c r="D5" s="4873"/>
      <c r="E5" s="4014"/>
      <c r="F5" s="4852" t="s">
        <v>660</v>
      </c>
      <c r="G5" s="4015" t="s">
        <v>659</v>
      </c>
      <c r="H5" s="4852"/>
      <c r="I5" s="4848"/>
    </row>
    <row r="6" spans="1:9" ht="15.75" customHeight="1" thickBot="1">
      <c r="A6" s="4846"/>
      <c r="B6" s="4846"/>
      <c r="C6" s="4850"/>
      <c r="D6" s="4874"/>
      <c r="E6" s="4014"/>
      <c r="F6" s="4852"/>
      <c r="G6" s="4015"/>
      <c r="H6" s="4852"/>
      <c r="I6" s="4848"/>
    </row>
    <row r="7" spans="1:9" ht="33.75" customHeight="1" thickBot="1">
      <c r="A7" s="4813" t="s">
        <v>794</v>
      </c>
      <c r="B7" s="4860" t="s">
        <v>82</v>
      </c>
      <c r="C7" s="4861"/>
      <c r="D7" s="4862"/>
      <c r="E7" s="1486">
        <f>SUM(F7:G7)</f>
        <v>2977520</v>
      </c>
      <c r="F7" s="1485">
        <f>SUM(F9:F17)</f>
        <v>0</v>
      </c>
      <c r="G7" s="1485">
        <f>SUM(G8:G17)</f>
        <v>2977520</v>
      </c>
      <c r="H7" s="1612"/>
      <c r="I7" s="1611"/>
    </row>
    <row r="8" spans="1:9" ht="57" customHeight="1">
      <c r="A8" s="4818"/>
      <c r="B8" s="4867">
        <v>60013</v>
      </c>
      <c r="C8" s="4869" t="s">
        <v>113</v>
      </c>
      <c r="D8" s="4871">
        <v>6610</v>
      </c>
      <c r="E8" s="1621">
        <f>SUM(F8:G8)</f>
        <v>300000</v>
      </c>
      <c r="F8" s="1494">
        <v>0</v>
      </c>
      <c r="G8" s="1620">
        <v>300000</v>
      </c>
      <c r="H8" s="1619" t="s">
        <v>884</v>
      </c>
      <c r="I8" s="1618" t="s">
        <v>883</v>
      </c>
    </row>
    <row r="9" spans="1:9" ht="18" customHeight="1">
      <c r="A9" s="4818"/>
      <c r="B9" s="4868"/>
      <c r="C9" s="4870"/>
      <c r="D9" s="4872"/>
      <c r="E9" s="4866">
        <f>SUM(G9:G17)</f>
        <v>2677520</v>
      </c>
      <c r="F9" s="1616">
        <v>0</v>
      </c>
      <c r="G9" s="1617">
        <v>717461</v>
      </c>
      <c r="H9" s="1615" t="s">
        <v>882</v>
      </c>
      <c r="I9" s="4825" t="s">
        <v>881</v>
      </c>
    </row>
    <row r="10" spans="1:9" ht="18" customHeight="1">
      <c r="A10" s="4818"/>
      <c r="B10" s="4868"/>
      <c r="C10" s="4870"/>
      <c r="D10" s="4872"/>
      <c r="E10" s="4866"/>
      <c r="F10" s="1616">
        <v>0</v>
      </c>
      <c r="G10" s="1616">
        <v>90000</v>
      </c>
      <c r="H10" s="1615" t="s">
        <v>880</v>
      </c>
      <c r="I10" s="4825"/>
    </row>
    <row r="11" spans="1:9" ht="18" customHeight="1">
      <c r="A11" s="4818"/>
      <c r="B11" s="4868"/>
      <c r="C11" s="4870"/>
      <c r="D11" s="4872"/>
      <c r="E11" s="4866"/>
      <c r="F11" s="1492">
        <v>0</v>
      </c>
      <c r="G11" s="1582">
        <v>350000</v>
      </c>
      <c r="H11" s="1595" t="s">
        <v>879</v>
      </c>
      <c r="I11" s="4825"/>
    </row>
    <row r="12" spans="1:9" ht="18" customHeight="1">
      <c r="A12" s="4818"/>
      <c r="B12" s="4868"/>
      <c r="C12" s="4870"/>
      <c r="D12" s="4872"/>
      <c r="E12" s="4866"/>
      <c r="F12" s="1616">
        <v>0</v>
      </c>
      <c r="G12" s="1616">
        <v>352000</v>
      </c>
      <c r="H12" s="1615" t="s">
        <v>878</v>
      </c>
      <c r="I12" s="4825"/>
    </row>
    <row r="13" spans="1:9" ht="18" customHeight="1">
      <c r="A13" s="4818"/>
      <c r="B13" s="4868"/>
      <c r="C13" s="4870"/>
      <c r="D13" s="4872"/>
      <c r="E13" s="4866"/>
      <c r="F13" s="1492">
        <v>0</v>
      </c>
      <c r="G13" s="1582">
        <v>455000</v>
      </c>
      <c r="H13" s="1595" t="s">
        <v>877</v>
      </c>
      <c r="I13" s="4825"/>
    </row>
    <row r="14" spans="1:9" ht="29.25" customHeight="1">
      <c r="A14" s="4818"/>
      <c r="B14" s="4868"/>
      <c r="C14" s="4870"/>
      <c r="D14" s="4872"/>
      <c r="E14" s="4866"/>
      <c r="F14" s="1616">
        <v>0</v>
      </c>
      <c r="G14" s="1616">
        <v>263059</v>
      </c>
      <c r="H14" s="1615" t="s">
        <v>876</v>
      </c>
      <c r="I14" s="4825"/>
    </row>
    <row r="15" spans="1:9" ht="29.25" customHeight="1">
      <c r="A15" s="4818"/>
      <c r="B15" s="4868"/>
      <c r="C15" s="4870"/>
      <c r="D15" s="4872"/>
      <c r="E15" s="4866"/>
      <c r="F15" s="1616">
        <v>0</v>
      </c>
      <c r="G15" s="1616">
        <v>260000</v>
      </c>
      <c r="H15" s="1615" t="s">
        <v>875</v>
      </c>
      <c r="I15" s="4825"/>
    </row>
    <row r="16" spans="1:9" ht="17.25" customHeight="1">
      <c r="A16" s="4818"/>
      <c r="B16" s="4868"/>
      <c r="C16" s="4870"/>
      <c r="D16" s="4872"/>
      <c r="E16" s="4866"/>
      <c r="F16" s="1492">
        <v>0</v>
      </c>
      <c r="G16" s="1582">
        <v>185000</v>
      </c>
      <c r="H16" s="1615" t="s">
        <v>874</v>
      </c>
      <c r="I16" s="4825"/>
    </row>
    <row r="17" spans="1:9" ht="17.25" customHeight="1" thickBot="1">
      <c r="A17" s="4818"/>
      <c r="B17" s="4868"/>
      <c r="C17" s="4870"/>
      <c r="D17" s="4872"/>
      <c r="E17" s="4866"/>
      <c r="F17" s="1614">
        <v>0</v>
      </c>
      <c r="G17" s="1614">
        <v>5000</v>
      </c>
      <c r="H17" s="1613" t="s">
        <v>873</v>
      </c>
      <c r="I17" s="4825"/>
    </row>
    <row r="18" spans="1:9" ht="33.75" customHeight="1" thickBot="1">
      <c r="A18" s="4813" t="s">
        <v>483</v>
      </c>
      <c r="B18" s="4863" t="s">
        <v>177</v>
      </c>
      <c r="C18" s="4864"/>
      <c r="D18" s="4865"/>
      <c r="E18" s="1486">
        <f>SUM(F18:G18)</f>
        <v>300000</v>
      </c>
      <c r="F18" s="1485">
        <f>SUM(F19)</f>
        <v>300000</v>
      </c>
      <c r="G18" s="1486">
        <f>SUM(G19)</f>
        <v>0</v>
      </c>
      <c r="H18" s="1612"/>
      <c r="I18" s="1611"/>
    </row>
    <row r="19" spans="1:9" ht="74.25" customHeight="1" thickBot="1">
      <c r="A19" s="4814"/>
      <c r="B19" s="1610" t="s">
        <v>576</v>
      </c>
      <c r="C19" s="1609" t="s">
        <v>188</v>
      </c>
      <c r="D19" s="1608" t="s">
        <v>89</v>
      </c>
      <c r="E19" s="1607">
        <f>SUM(F19:G19)</f>
        <v>300000</v>
      </c>
      <c r="F19" s="1488">
        <v>300000</v>
      </c>
      <c r="G19" s="1489">
        <v>0</v>
      </c>
      <c r="H19" s="1581" t="s">
        <v>872</v>
      </c>
      <c r="I19" s="1606" t="s">
        <v>871</v>
      </c>
    </row>
    <row r="20" spans="1:9" ht="32.25" customHeight="1" thickBot="1">
      <c r="A20" s="4858" t="s">
        <v>855</v>
      </c>
      <c r="B20" s="4858"/>
      <c r="C20" s="4859"/>
      <c r="D20" s="1605"/>
      <c r="E20" s="1604">
        <f>SUM(E7,E18)</f>
        <v>3277520</v>
      </c>
      <c r="F20" s="1604">
        <f>SUM(F7,F18)</f>
        <v>300000</v>
      </c>
      <c r="G20" s="1604">
        <f>SUM(G7,G18)</f>
        <v>2977520</v>
      </c>
      <c r="H20" s="1415"/>
      <c r="I20" s="1603"/>
    </row>
    <row r="545" spans="17:17">
      <c r="Q545" s="1194">
        <f>P545-O545</f>
        <v>0</v>
      </c>
    </row>
  </sheetData>
  <sheetProtection algorithmName="SHA-512" hashValue="EjRrn3Ahv+5UEIg5eqf0nRKUlAbcSqg6mGcWX0rAlIwk7Zg2SPls5frv0Vo4uyUivX5cBUGAcfFgaZac8u39FQ==" saltValue="9o3L9CelxcTr963kyknJFQ==" spinCount="100000" sheet="1" objects="1" scenarios="1"/>
  <mergeCells count="22">
    <mergeCell ref="F5:F6"/>
    <mergeCell ref="G5:G6"/>
    <mergeCell ref="H1:I1"/>
    <mergeCell ref="A2:I2"/>
    <mergeCell ref="A4:A6"/>
    <mergeCell ref="B4:B6"/>
    <mergeCell ref="C4:C6"/>
    <mergeCell ref="D4:D6"/>
    <mergeCell ref="E4:E6"/>
    <mergeCell ref="F4:G4"/>
    <mergeCell ref="H4:H6"/>
    <mergeCell ref="I4:I6"/>
    <mergeCell ref="I9:I17"/>
    <mergeCell ref="A20:C20"/>
    <mergeCell ref="B7:D7"/>
    <mergeCell ref="A18:A19"/>
    <mergeCell ref="B18:D18"/>
    <mergeCell ref="E9:E17"/>
    <mergeCell ref="A7:A17"/>
    <mergeCell ref="B8:B17"/>
    <mergeCell ref="C8:C17"/>
    <mergeCell ref="D8:D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25</vt:i4>
      </vt:variant>
    </vt:vector>
  </HeadingPairs>
  <TitlesOfParts>
    <vt:vector size="42" baseType="lpstr">
      <vt:lpstr>Tabela Nr 1 dochody</vt:lpstr>
      <vt:lpstr>Tabela Nr 2 wydatki</vt:lpstr>
      <vt:lpstr>Tabela Nr 3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 Załącznik Nr 8</vt:lpstr>
      <vt:lpstr>Załącznik Nr 9</vt:lpstr>
      <vt:lpstr> Załącznik Nr 10</vt:lpstr>
      <vt:lpstr>Zał Nr 11 adm.rząd.doch.</vt:lpstr>
      <vt:lpstr>Zał Nr 11 adm.rzad.wyd.</vt:lpstr>
      <vt:lpstr>Zał Nr 12</vt:lpstr>
      <vt:lpstr>Załącznik Nr 13</vt:lpstr>
      <vt:lpstr>' Załącznik Nr 10'!Obszar_wydruku</vt:lpstr>
      <vt:lpstr>' Załącznik Nr 8'!Obszar_wydruku</vt:lpstr>
      <vt:lpstr>'Tabela Nr 1 dochody'!Obszar_wydruku</vt:lpstr>
      <vt:lpstr>'Tabela Nr 2 wydatki'!Obszar_wydruku</vt:lpstr>
      <vt:lpstr>'Tabela Nr 3'!Obszar_wydruku</vt:lpstr>
      <vt:lpstr>'Zał Nr 11 adm.rzad.wyd.'!Obszar_wydruku</vt:lpstr>
      <vt:lpstr>'Zał Nr 11 adm.rząd.doch.'!Obszar_wydruku</vt:lpstr>
      <vt:lpstr>'Zał Nr 12'!Obszar_wydruku</vt:lpstr>
      <vt:lpstr>'Załącznik Nr 1'!Obszar_wydruku</vt:lpstr>
      <vt:lpstr>'Załącznik Nr 13'!Obszar_wydruku</vt:lpstr>
      <vt:lpstr>'Załącznik Nr 2'!Obszar_wydruku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'Tabela Nr 1 dochody'!Tytuły_wydruku</vt:lpstr>
      <vt:lpstr>'Tabela Nr 2 wydatki'!Tytuły_wydruku</vt:lpstr>
      <vt:lpstr>'Tabela Nr 3'!Tytuły_wydruku</vt:lpstr>
      <vt:lpstr>'Zał Nr 11 adm.rzad.wyd.'!Tytuły_wydruku</vt:lpstr>
      <vt:lpstr>'Załącznik Nr 2'!Tytuły_wydruku</vt:lpstr>
      <vt:lpstr>'Załącznik Nr 3'!Tytuły_wydruku</vt:lpstr>
      <vt:lpstr>'Załącznik Nr 5'!Tytuły_wydruku</vt:lpstr>
      <vt:lpstr>'Załącznik Nr 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 Maria</dc:creator>
  <cp:lastModifiedBy>Szynal Anna</cp:lastModifiedBy>
  <cp:lastPrinted>2022-12-29T11:12:17Z</cp:lastPrinted>
  <dcterms:created xsi:type="dcterms:W3CDTF">2022-11-07T06:55:39Z</dcterms:created>
  <dcterms:modified xsi:type="dcterms:W3CDTF">2022-12-29T11:52:28Z</dcterms:modified>
</cp:coreProperties>
</file>